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<sst xmlns="http://schemas.openxmlformats.org/spreadsheetml/2006/main" count="437" uniqueCount="72">
  <si>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</si>
  <si>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</si>
  <si>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</si>
  <si>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</si>
  <si>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</si>
  <si>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</si>
  <si>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</si>
  <si>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</si>
  <si>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</si>
  <si>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</si>
  <si>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</si>
  <si>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</si>
  <si>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</si>
  <si>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</si>
  <si>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</si>
  <si>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</si>
  <si>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</si>
  <si>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</si>
  <si>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</si>
  <si>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</si>
  <si>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</si>
  <si>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</si>
  <si>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</si>
  <si>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</si>
  <si>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Эдуард А.</t>
  </si>
  <si>
    <t>Италия</t>
  </si>
  <si>
    <t>masterp1ece</t>
  </si>
  <si>
    <t>Рим С.</t>
  </si>
  <si>
    <t>Германия</t>
  </si>
  <si>
    <t>CMEX</t>
  </si>
  <si>
    <t>Андрей С.</t>
  </si>
  <si>
    <t>Аргентина</t>
  </si>
  <si>
    <t>flame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</si>
  <si>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</si>
  <si>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</si>
  <si>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</si>
  <si>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</si>
  <si>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</si>
  <si>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</si>
  <si>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</si>
  <si>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</si>
  <si>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</si>
  <si>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</si>
  <si>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</si>
  <si>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</si>
  <si>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</si>
  <si>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</si>
  <si>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</si>
  <si>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</si>
  <si>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</si>
  <si>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Тимофей Б.</t>
  </si>
  <si>
    <t>Испания</t>
  </si>
  <si>
    <t>debosch</t>
  </si>
  <si>
    <t>Азамат Г.</t>
  </si>
  <si>
    <t>azalazy</t>
  </si>
  <si>
    <t>Никита Д.</t>
  </si>
  <si>
    <t>⁠nxkitorio</t>
  </si>
  <si>
    <t>ТУР4</t>
  </si>
  <si>
    <t>ТУР5</t>
  </si>
  <si>
    <t>ТУР6</t>
  </si>
  <si>
    <t>Павел Г.</t>
  </si>
  <si>
    <t>Mentill</t>
  </si>
  <si>
    <t>Расуль В.</t>
  </si>
  <si>
    <t>rasval</t>
  </si>
  <si>
    <t>Тагир А.</t>
  </si>
  <si>
    <t>AKMAN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</si>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</sst>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164" xfId="0" applyAlignment="1" applyBorder="1" applyFont="1" applyNumberForma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0" xfId="0" applyAlignment="1" applyBorder="1" applyFon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19" numFmtId="0" xfId="0" applyBorder="1" applyFont="1"/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45719.0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45719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11</v>
      </c>
      <c r="AI3" s="7">
        <f t="array" ref="AI3">SUM((home=AF3)*(homescore=visitorscore)*ISNUMBER(visitorscore),(visitor=AF3)*(visitorscore=homescore)*ISNUMBER(homescore))</f>
        <v>5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87</v>
      </c>
      <c r="AL3" s="32">
        <f t="array" ref="AL3">SUMIF(home,AF3,visitorscore)+SUMIF(visitor,AF3,homescore)</f>
        <v>76</v>
      </c>
      <c r="AM3" s="7">
        <f t="shared" ref="AM3:AM5" si="2">AK3-AL3</f>
        <v>11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3800110087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5</v>
      </c>
      <c r="Y4" s="26">
        <f t="array" ref="Y4">VLOOKUP($U4,$AF$3:$AN$5,5,0)</f>
        <v>8</v>
      </c>
      <c r="Z4" s="26">
        <f t="array" ref="Z4">VLOOKUP($U4,$AF$3:$AN$5,6,0)</f>
        <v>87</v>
      </c>
      <c r="AA4" s="26">
        <f t="array" ref="AA4">VLOOKUP($U4,$AF$3:$AN$5,7,0)</f>
        <v>76</v>
      </c>
      <c r="AB4" s="26">
        <f t="array" ref="AB4">VLOOKUP($U4,$AF$3:$AN$5,8,0)</f>
        <v>11</v>
      </c>
      <c r="AC4" s="26">
        <f t="array" ref="AC4">VLOOKUP($U4,$AF$3:$AN$5,9,0)</f>
        <v>38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6</v>
      </c>
      <c r="AI4" s="7">
        <f t="array" ref="AI4">SUM((home=AF4)*(homescore=visitorscore)*ISNUMBER(visitorscore),(visitor=AF4)*(visitorscore=homescore)*ISNUMBER(homescore))</f>
        <v>7</v>
      </c>
      <c r="AJ4" s="7">
        <f t="array" ref="AJ4">SUM((home=AF4)*(homescore&lt;visitorscore),(visitor=AF4)*(visitorscore&lt;homescore))</f>
        <v>11</v>
      </c>
      <c r="AK4" s="31">
        <f t="array" ref="AK4">SUMIF(home,AF4,homescore)+SUMIF(visitor,AF4,visitorscore)</f>
        <v>85</v>
      </c>
      <c r="AL4" s="32">
        <f t="array" ref="AL4">SUMIF(home,AF4,visitorscore)+SUMIF(visitor,AF4,homescore)</f>
        <v>93</v>
      </c>
      <c r="AM4" s="7">
        <f t="shared" si="2"/>
        <v>-8</v>
      </c>
      <c r="AN4" s="31">
        <f t="array" ref="AN4">AH4*Options!$B$2+AI4*Options!$B$3+AJ4*Options!$B$4+VLOOKUP(AF4,$E$4:$F$9,2,0)</f>
        <v>25</v>
      </c>
      <c r="AO4" s="11">
        <f t="shared" si="3"/>
        <v>2499920085</v>
      </c>
    </row>
    <row r="5">
      <c r="A5" s="11"/>
      <c r="B5" s="8"/>
      <c r="C5" s="40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8</v>
      </c>
      <c r="Y5" s="26">
        <f t="array" ref="Y5">VLOOKUP($U5,$AF$3:$AN$5,5,0)</f>
        <v>7</v>
      </c>
      <c r="Z5" s="26">
        <f t="array" ref="Z5">VLOOKUP($U5,$AF$3:$AN$5,6,0)</f>
        <v>84</v>
      </c>
      <c r="AA5" s="26">
        <f t="array" ref="AA5">VLOOKUP($U5,$AF$3:$AN$5,7,0)</f>
        <v>87</v>
      </c>
      <c r="AB5" s="26">
        <f t="array" ref="AB5">VLOOKUP($U5,$AF$3:$AN$5,8,0)</f>
        <v>-3</v>
      </c>
      <c r="AC5" s="26">
        <f t="array" ref="AC5">VLOOKUP($U5,$AF$3:$AN$5,9,0)</f>
        <v>35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9</v>
      </c>
      <c r="AI5" s="7">
        <f t="array" ref="AI5">SUM((home=AF5)*(homescore=visitorscore)*ISNUMBER(visitorscore),(visitor=AF5)*(visitorscore=homescore)*ISNUMBER(homescore))</f>
        <v>8</v>
      </c>
      <c r="AJ5" s="7">
        <f t="array" ref="AJ5">SUM((home=AF5)*(homescore&lt;visitorscore),(visitor=AF5)*(visitorscore&lt;homescore))</f>
        <v>7</v>
      </c>
      <c r="AK5" s="31">
        <f t="array" ref="AK5">SUMIF(home,AF5,homescore)+SUMIF(visitor,AF5,visitorscore)</f>
        <v>84</v>
      </c>
      <c r="AL5" s="32">
        <f t="array" ref="AL5">SUMIF(home,AF5,visitorscore)+SUMIF(visitor,AF5,homescore)</f>
        <v>87</v>
      </c>
      <c r="AM5" s="7">
        <f t="shared" si="2"/>
        <v>-3</v>
      </c>
      <c r="AN5" s="31">
        <f t="array" ref="AN5">AH5*Options!$B$2+AI5*Options!$B$3+AJ5*Options!$B$4+VLOOKUP(AF5,$E$4:$F$9,2,0)</f>
        <v>35</v>
      </c>
      <c r="AO5" s="11">
        <f t="shared" si="3"/>
        <v>3499970084</v>
      </c>
    </row>
    <row r="6">
      <c r="A6" s="41"/>
      <c r="B6" s="42"/>
      <c r="C6" s="43" t="s">
        <v>30</v>
      </c>
      <c r="D6" s="44" t="s">
        <v>31</v>
      </c>
      <c r="E6" s="35" t="s">
        <v>32</v>
      </c>
      <c r="F6" s="45"/>
      <c r="G6" s="45"/>
      <c r="H6" s="45"/>
      <c r="I6" s="45"/>
      <c r="J6" s="45"/>
      <c r="K6" s="45"/>
      <c r="L6" s="45"/>
      <c r="M6" s="42"/>
      <c r="N6" s="46"/>
      <c r="O6" s="45"/>
      <c r="P6" s="45"/>
      <c r="Q6" s="45"/>
      <c r="R6" s="45"/>
      <c r="S6" s="45"/>
      <c r="T6" s="45"/>
      <c r="U6" s="47" t="str">
        <f t="array" ref="U6">INDEX($AF$3:$AF$5,MATCH(LARGE($AO$3:$AO$5-ROW($AO$3:$AO$5)/COUNT($AO$3:$AO$5),ROW(U6)-ROW(U$4)+1),$AO$3:$AO$5-ROW($AO$3:$AO$5)/COUNT($AO$3:$AO$5),0))</f>
        <v>CMEX</v>
      </c>
      <c r="V6" s="48">
        <f t="array" ref="V6">VLOOKUP($U6,$AF$3:$AN$5,2,0)</f>
        <v>24</v>
      </c>
      <c r="W6" s="49">
        <f t="array" ref="W6">VLOOKUP($U6,$AF$3:$AN$5,3,0)</f>
        <v>6</v>
      </c>
      <c r="X6" s="49">
        <f t="array" ref="X6">VLOOKUP($U6,$AF$3:$AN$5,4,0)</f>
        <v>7</v>
      </c>
      <c r="Y6" s="49">
        <f t="array" ref="Y6">VLOOKUP($U6,$AF$3:$AN$5,5,0)</f>
        <v>11</v>
      </c>
      <c r="Z6" s="49">
        <f t="array" ref="Z6">VLOOKUP($U6,$AF$3:$AN$5,6,0)</f>
        <v>85</v>
      </c>
      <c r="AA6" s="49">
        <f t="array" ref="AA6">VLOOKUP($U6,$AF$3:$AN$5,7,0)</f>
        <v>93</v>
      </c>
      <c r="AB6" s="49">
        <f t="array" ref="AB6">VLOOKUP($U6,$AF$3:$AN$5,8,0)</f>
        <v>-8</v>
      </c>
      <c r="AC6" s="49">
        <f t="array" ref="AC6">VLOOKUP($U6,$AF$3:$AN$5,9,0)</f>
        <v>25</v>
      </c>
      <c r="AD6" s="50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5"/>
      <c r="D7" s="51"/>
      <c r="E7" s="52"/>
      <c r="F7" s="45"/>
      <c r="G7" s="45"/>
      <c r="H7" s="45"/>
      <c r="I7" s="45"/>
      <c r="J7" s="45"/>
      <c r="K7" s="45"/>
      <c r="L7" s="45"/>
      <c r="M7" s="42"/>
      <c r="N7" s="46"/>
      <c r="O7" s="45"/>
      <c r="P7" s="45"/>
      <c r="Q7" s="45"/>
      <c r="R7" s="45"/>
      <c r="S7" s="45"/>
      <c r="T7" s="45"/>
      <c r="U7" s="53"/>
      <c r="V7" s="45"/>
      <c r="W7" s="45"/>
      <c r="X7" s="45"/>
      <c r="Y7" s="45"/>
      <c r="Z7" s="45"/>
      <c r="AA7" s="45"/>
      <c r="AB7" s="45"/>
      <c r="AC7" s="45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4" t="s">
        <v>33</v>
      </c>
      <c r="C8" s="55" t="s">
        <v>14</v>
      </c>
      <c r="D8" s="55" t="s">
        <v>14</v>
      </c>
      <c r="E8" s="55" t="s">
        <v>34</v>
      </c>
      <c r="F8" s="55" t="s">
        <v>35</v>
      </c>
      <c r="G8" s="56" t="s">
        <v>36</v>
      </c>
      <c r="H8" s="16"/>
      <c r="I8" s="4"/>
      <c r="J8" s="57"/>
      <c r="K8" s="58" t="s">
        <v>37</v>
      </c>
      <c r="L8" s="4"/>
      <c r="M8" s="59"/>
      <c r="N8" s="60" t="s">
        <v>38</v>
      </c>
      <c r="O8" s="59"/>
      <c r="P8" s="59"/>
      <c r="Q8" s="59"/>
      <c r="R8" s="59"/>
      <c r="S8" s="61" t="s">
        <v>38</v>
      </c>
      <c r="T8" s="61" t="s">
        <v>39</v>
      </c>
      <c r="U8" s="61" t="s">
        <v>40</v>
      </c>
      <c r="V8" s="60" t="s">
        <v>41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5"/>
      <c r="D9" s="45"/>
      <c r="E9" s="45"/>
      <c r="F9" s="45"/>
      <c r="G9" s="45"/>
      <c r="H9" s="45"/>
      <c r="I9" s="45"/>
      <c r="J9" s="45"/>
      <c r="K9" s="45"/>
      <c r="L9" s="45"/>
      <c r="M9" s="62"/>
      <c r="N9" s="63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4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62"/>
      <c r="N10" s="63"/>
      <c r="O10" s="45"/>
      <c r="P10" s="45"/>
      <c r="Q10" s="45"/>
      <c r="R10" s="45"/>
      <c r="S10" s="45"/>
      <c r="T10" s="45"/>
      <c r="U10" s="45"/>
      <c r="V10" s="45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5"/>
      <c r="B11" s="66">
        <v>0.3333333333333333</v>
      </c>
      <c r="C11" s="67" t="str">
        <f t="shared" ref="C11:C13" si="4">TRIM($D$4)</f>
        <v>Италия</v>
      </c>
      <c r="D11" s="67" t="str">
        <f t="shared" ref="D11:D16" si="5">TRIM($D$5)</f>
        <v>Германия</v>
      </c>
      <c r="E11" s="67" t="str">
        <f t="shared" ref="E11:E13" si="6">$E$4</f>
        <v>masterp1ece</v>
      </c>
      <c r="F11" s="67" t="str">
        <f t="shared" ref="F11:F16" si="7">$E$5</f>
        <v>CMEX</v>
      </c>
      <c r="G11" s="55">
        <f t="shared" ref="G11:G46" si="8">SUM(K11)</f>
        <v>5</v>
      </c>
      <c r="H11" s="57"/>
      <c r="I11" s="55">
        <f t="shared" ref="I11:I17" si="9">SUM(L11)</f>
        <v>5</v>
      </c>
      <c r="J11" s="57"/>
      <c r="K11" s="67">
        <v>5.0</v>
      </c>
      <c r="L11" s="67">
        <v>5.0</v>
      </c>
      <c r="M11" s="62">
        <v>1.0</v>
      </c>
      <c r="N11" s="63">
        <v>1.0</v>
      </c>
      <c r="O11" s="45"/>
      <c r="P11" s="45"/>
      <c r="Q11" s="45"/>
      <c r="R11" s="45"/>
      <c r="S11" s="45">
        <v>1.0</v>
      </c>
      <c r="T11" s="68">
        <v>97.0</v>
      </c>
      <c r="U11" s="69" t="str">
        <f t="shared" ref="U11:U46" si="10">TEXT(B11,"h:mm")&amp;" "&amp;($C$1)&amp;" ("&amp;C11&amp;") "&amp;E11&amp;" "&amp;" - ("&amp;D11&amp;") "&amp;F11&amp;""</f>
        <v>8:00 Penalty shot cup (Италия) masterp1ece  - (Германия) CMEX</v>
      </c>
      <c r="V11" s="41" t="str">
        <f t="shared" ref="V11:V46" si="11">TEXT(G11,"0")&amp;":"&amp;TEXT(I11,"0")</f>
        <v>5:5</v>
      </c>
      <c r="W11" s="41"/>
      <c r="X11" s="41"/>
      <c r="Y11" s="41"/>
      <c r="Z11" s="41"/>
      <c r="AA11" s="41"/>
      <c r="AB11" s="41"/>
      <c r="AC11" s="41"/>
      <c r="AD11" s="41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</row>
    <row r="12">
      <c r="A12" s="65"/>
      <c r="B12" s="66">
        <v>0.3368055555555556</v>
      </c>
      <c r="C12" s="67" t="str">
        <f t="shared" si="4"/>
        <v>Италия</v>
      </c>
      <c r="D12" s="67" t="str">
        <f t="shared" si="5"/>
        <v>Германия</v>
      </c>
      <c r="E12" s="67" t="str">
        <f t="shared" si="6"/>
        <v>masterp1ece</v>
      </c>
      <c r="F12" s="67" t="str">
        <f t="shared" si="7"/>
        <v>CMEX</v>
      </c>
      <c r="G12" s="55">
        <f t="shared" si="8"/>
        <v>5</v>
      </c>
      <c r="H12" s="57"/>
      <c r="I12" s="55">
        <f t="shared" si="9"/>
        <v>3</v>
      </c>
      <c r="J12" s="57"/>
      <c r="K12" s="67">
        <v>5.0</v>
      </c>
      <c r="L12" s="67">
        <v>3.0</v>
      </c>
      <c r="M12" s="62"/>
      <c r="N12" s="63">
        <v>2.0</v>
      </c>
      <c r="O12" s="45"/>
      <c r="P12" s="45"/>
      <c r="Q12" s="45"/>
      <c r="R12" s="45"/>
      <c r="S12" s="45">
        <v>2.0</v>
      </c>
      <c r="T12" s="68">
        <v>98.0</v>
      </c>
      <c r="U12" s="69" t="str">
        <f t="shared" si="10"/>
        <v>8:05 Penalty shot cup (Италия) masterp1ece  - (Германия) CMEX</v>
      </c>
      <c r="V12" s="41" t="str">
        <f t="shared" si="11"/>
        <v>5:3</v>
      </c>
      <c r="W12" s="41"/>
      <c r="X12" s="41"/>
      <c r="Y12" s="41"/>
      <c r="Z12" s="41"/>
      <c r="AA12" s="41"/>
      <c r="AB12" s="41"/>
      <c r="AC12" s="41"/>
      <c r="AD12" s="41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</row>
    <row r="13">
      <c r="A13" s="65"/>
      <c r="B13" s="66">
        <v>0.3402777777777778</v>
      </c>
      <c r="C13" s="67" t="str">
        <f t="shared" si="4"/>
        <v>Италия</v>
      </c>
      <c r="D13" s="67" t="str">
        <f t="shared" si="5"/>
        <v>Германия</v>
      </c>
      <c r="E13" s="67" t="str">
        <f t="shared" si="6"/>
        <v>masterp1ece</v>
      </c>
      <c r="F13" s="67" t="str">
        <f t="shared" si="7"/>
        <v>CMEX</v>
      </c>
      <c r="G13" s="55">
        <f t="shared" si="8"/>
        <v>4</v>
      </c>
      <c r="H13" s="57"/>
      <c r="I13" s="55">
        <f t="shared" si="9"/>
        <v>2</v>
      </c>
      <c r="J13" s="57"/>
      <c r="K13" s="67">
        <v>4.0</v>
      </c>
      <c r="L13" s="67">
        <v>2.0</v>
      </c>
      <c r="M13" s="62"/>
      <c r="N13" s="63">
        <v>3.0</v>
      </c>
      <c r="O13" s="45"/>
      <c r="P13" s="45"/>
      <c r="Q13" s="45"/>
      <c r="R13" s="45"/>
      <c r="S13" s="45">
        <v>3.0</v>
      </c>
      <c r="T13" s="68">
        <v>99.0</v>
      </c>
      <c r="U13" s="69" t="str">
        <f t="shared" si="10"/>
        <v>8:10 Penalty shot cup (Италия) masterp1ece  - (Германия) CMEX</v>
      </c>
      <c r="V13" s="41" t="str">
        <f t="shared" si="11"/>
        <v>4:2</v>
      </c>
      <c r="W13" s="41"/>
      <c r="X13" s="41"/>
      <c r="Y13" s="41"/>
      <c r="Z13" s="41"/>
      <c r="AA13" s="41"/>
      <c r="AB13" s="41"/>
      <c r="AC13" s="41"/>
      <c r="AD13" s="41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</row>
    <row r="14">
      <c r="A14" s="65"/>
      <c r="B14" s="66">
        <v>0.34375</v>
      </c>
      <c r="C14" s="67" t="str">
        <f t="shared" ref="C14:C19" si="12">TRIM($D$6)</f>
        <v>Аргентина</v>
      </c>
      <c r="D14" s="67" t="str">
        <f t="shared" si="5"/>
        <v>Германия</v>
      </c>
      <c r="E14" s="67" t="str">
        <f t="shared" ref="E14:E19" si="13">$E$6</f>
        <v>flame</v>
      </c>
      <c r="F14" s="67" t="str">
        <f t="shared" si="7"/>
        <v>CMEX</v>
      </c>
      <c r="G14" s="55">
        <f t="shared" si="8"/>
        <v>3</v>
      </c>
      <c r="H14" s="57"/>
      <c r="I14" s="55">
        <f t="shared" si="9"/>
        <v>4</v>
      </c>
      <c r="J14" s="57"/>
      <c r="K14" s="67">
        <v>3.0</v>
      </c>
      <c r="L14" s="67">
        <v>4.0</v>
      </c>
      <c r="M14" s="62"/>
      <c r="N14" s="63">
        <v>1.0</v>
      </c>
      <c r="O14" s="45"/>
      <c r="P14" s="45"/>
      <c r="Q14" s="45"/>
      <c r="R14" s="45"/>
      <c r="S14" s="45">
        <v>1.0</v>
      </c>
      <c r="T14" s="68">
        <v>100.0</v>
      </c>
      <c r="U14" s="69" t="str">
        <f t="shared" si="10"/>
        <v>8:15 Penalty shot cup (Аргентина) flame  - (Германия) CMEX</v>
      </c>
      <c r="V14" s="41" t="str">
        <f t="shared" si="11"/>
        <v>3:4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5"/>
      <c r="B15" s="66">
        <v>0.3472222222222222</v>
      </c>
      <c r="C15" s="67" t="str">
        <f t="shared" si="12"/>
        <v>Аргентина</v>
      </c>
      <c r="D15" s="67" t="str">
        <f t="shared" si="5"/>
        <v>Германия</v>
      </c>
      <c r="E15" s="67" t="str">
        <f t="shared" si="13"/>
        <v>flame</v>
      </c>
      <c r="F15" s="67" t="str">
        <f t="shared" si="7"/>
        <v>CMEX</v>
      </c>
      <c r="G15" s="55">
        <f t="shared" si="8"/>
        <v>4</v>
      </c>
      <c r="H15" s="57"/>
      <c r="I15" s="55">
        <f t="shared" si="9"/>
        <v>4</v>
      </c>
      <c r="J15" s="57"/>
      <c r="K15" s="67">
        <v>4.0</v>
      </c>
      <c r="L15" s="67">
        <v>4.0</v>
      </c>
      <c r="M15" s="62"/>
      <c r="N15" s="63">
        <v>2.0</v>
      </c>
      <c r="O15" s="45"/>
      <c r="P15" s="45"/>
      <c r="Q15" s="45"/>
      <c r="R15" s="45"/>
      <c r="S15" s="45">
        <v>2.0</v>
      </c>
      <c r="T15" s="68">
        <v>101.0</v>
      </c>
      <c r="U15" s="69" t="str">
        <f t="shared" si="10"/>
        <v>8:20 Penalty shot cup (Аргентина) flame  - (Германия) CMEX</v>
      </c>
      <c r="V15" s="41" t="str">
        <f t="shared" si="11"/>
        <v>4:4</v>
      </c>
      <c r="W15" s="41"/>
      <c r="X15" s="41"/>
      <c r="Y15" s="41"/>
      <c r="Z15" s="41"/>
      <c r="AA15" s="41"/>
      <c r="AB15" s="41"/>
      <c r="AC15" s="71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5"/>
      <c r="B16" s="66">
        <v>0.3506944444444444</v>
      </c>
      <c r="C16" s="67" t="str">
        <f t="shared" si="12"/>
        <v>Аргентина</v>
      </c>
      <c r="D16" s="67" t="str">
        <f t="shared" si="5"/>
        <v>Германия</v>
      </c>
      <c r="E16" s="67" t="str">
        <f t="shared" si="13"/>
        <v>flame</v>
      </c>
      <c r="F16" s="67" t="str">
        <f t="shared" si="7"/>
        <v>CMEX</v>
      </c>
      <c r="G16" s="55">
        <f t="shared" si="8"/>
        <v>5</v>
      </c>
      <c r="H16" s="57"/>
      <c r="I16" s="55">
        <f t="shared" si="9"/>
        <v>5</v>
      </c>
      <c r="J16" s="57"/>
      <c r="K16" s="67">
        <v>5.0</v>
      </c>
      <c r="L16" s="67">
        <v>5.0</v>
      </c>
      <c r="M16" s="62"/>
      <c r="N16" s="63">
        <v>3.0</v>
      </c>
      <c r="O16" s="45"/>
      <c r="P16" s="45"/>
      <c r="Q16" s="45"/>
      <c r="R16" s="45"/>
      <c r="S16" s="45">
        <v>3.0</v>
      </c>
      <c r="T16" s="68">
        <v>102.0</v>
      </c>
      <c r="U16" s="69" t="str">
        <f t="shared" si="10"/>
        <v>8:25 Penalty shot cup (Аргентина) flame  - (Германия) CMEX</v>
      </c>
      <c r="V16" s="41" t="str">
        <f t="shared" si="11"/>
        <v>5:5</v>
      </c>
      <c r="W16" s="41"/>
      <c r="X16" s="41"/>
      <c r="Y16" s="41"/>
      <c r="Z16" s="41"/>
      <c r="AA16" s="41"/>
      <c r="AB16" s="41"/>
      <c r="AC16" s="41"/>
      <c r="AD16" s="72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5"/>
      <c r="B17" s="66">
        <v>0.3541666666666667</v>
      </c>
      <c r="C17" s="67" t="str">
        <f t="shared" si="12"/>
        <v>Аргентина</v>
      </c>
      <c r="D17" s="67" t="str">
        <f t="shared" ref="D17:D22" si="14">TRIM($D$4)</f>
        <v>Италия</v>
      </c>
      <c r="E17" s="67" t="str">
        <f t="shared" si="13"/>
        <v>flame</v>
      </c>
      <c r="F17" s="67" t="str">
        <f t="shared" ref="F17:F22" si="15">$E$4</f>
        <v>masterp1ece</v>
      </c>
      <c r="G17" s="55">
        <f t="shared" si="8"/>
        <v>5</v>
      </c>
      <c r="H17" s="57"/>
      <c r="I17" s="55">
        <f t="shared" si="9"/>
        <v>4</v>
      </c>
      <c r="J17" s="57"/>
      <c r="K17" s="49">
        <v>5.0</v>
      </c>
      <c r="L17" s="49">
        <v>4.0</v>
      </c>
      <c r="M17" s="62"/>
      <c r="N17" s="63">
        <v>1.0</v>
      </c>
      <c r="O17" s="73"/>
      <c r="P17" s="45"/>
      <c r="Q17" s="73"/>
      <c r="R17" s="73"/>
      <c r="S17" s="45">
        <v>1.0</v>
      </c>
      <c r="T17" s="68">
        <v>103.0</v>
      </c>
      <c r="U17" s="69" t="str">
        <f t="shared" si="10"/>
        <v>8:30 Penalty shot cup (Аргентина) flame  - (Италия) masterp1ece</v>
      </c>
      <c r="V17" s="41" t="str">
        <f t="shared" si="11"/>
        <v>5:4</v>
      </c>
      <c r="W17" s="41"/>
      <c r="X17" s="41"/>
      <c r="Y17" s="41"/>
      <c r="Z17" s="41"/>
      <c r="AA17" s="41"/>
      <c r="AB17" s="41"/>
      <c r="AC17" s="41"/>
      <c r="AD17" s="41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</row>
    <row r="18" ht="15.75" customHeight="1">
      <c r="A18" s="65"/>
      <c r="B18" s="66">
        <v>0.3576388888888889</v>
      </c>
      <c r="C18" s="67" t="str">
        <f t="shared" si="12"/>
        <v>Аргентина</v>
      </c>
      <c r="D18" s="67" t="str">
        <f t="shared" si="14"/>
        <v>Италия</v>
      </c>
      <c r="E18" s="67" t="str">
        <f t="shared" si="13"/>
        <v>flame</v>
      </c>
      <c r="F18" s="67" t="str">
        <f t="shared" si="15"/>
        <v>masterp1ece</v>
      </c>
      <c r="G18" s="55">
        <f t="shared" si="8"/>
        <v>0</v>
      </c>
      <c r="H18" s="57"/>
      <c r="I18" s="55">
        <f t="shared" ref="I18:I22" si="16">SUM(L18,O18)</f>
        <v>0</v>
      </c>
      <c r="J18" s="57"/>
      <c r="K18" s="67" t="s">
        <v>42</v>
      </c>
      <c r="L18" s="67" t="s">
        <v>42</v>
      </c>
      <c r="M18" s="62"/>
      <c r="N18" s="63">
        <v>2.0</v>
      </c>
      <c r="O18" s="73"/>
      <c r="P18" s="45"/>
      <c r="Q18" s="73"/>
      <c r="R18" s="73"/>
      <c r="S18" s="45">
        <v>2.0</v>
      </c>
      <c r="T18" s="68">
        <v>104.0</v>
      </c>
      <c r="U18" s="69" t="str">
        <f t="shared" si="10"/>
        <v>8:35 Penalty shot cup (Аргентина) flame  - (Италия) masterp1ece</v>
      </c>
      <c r="V18" s="41" t="str">
        <f t="shared" si="11"/>
        <v>0:0</v>
      </c>
      <c r="W18" s="41"/>
      <c r="X18" s="41"/>
      <c r="Y18" s="41"/>
      <c r="Z18" s="41"/>
      <c r="AA18" s="41"/>
      <c r="AB18" s="41"/>
      <c r="AC18" s="41"/>
      <c r="AD18" s="41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</row>
    <row r="19" ht="15.75" customHeight="1">
      <c r="A19" s="65"/>
      <c r="B19" s="66">
        <v>0.3611111111111111</v>
      </c>
      <c r="C19" s="67" t="str">
        <f t="shared" si="12"/>
        <v>Аргентина</v>
      </c>
      <c r="D19" s="67" t="str">
        <f t="shared" si="14"/>
        <v>Италия</v>
      </c>
      <c r="E19" s="67" t="str">
        <f t="shared" si="13"/>
        <v>flame</v>
      </c>
      <c r="F19" s="67" t="str">
        <f t="shared" si="15"/>
        <v>masterp1ece</v>
      </c>
      <c r="G19" s="55">
        <f t="shared" si="8"/>
        <v>4</v>
      </c>
      <c r="H19" s="57"/>
      <c r="I19" s="55">
        <f t="shared" si="16"/>
        <v>3</v>
      </c>
      <c r="J19" s="67"/>
      <c r="K19" s="74">
        <v>4.0</v>
      </c>
      <c r="L19" s="67">
        <v>3.0</v>
      </c>
      <c r="M19" s="62"/>
      <c r="N19" s="63">
        <v>3.0</v>
      </c>
      <c r="O19" s="73"/>
      <c r="P19" s="45"/>
      <c r="Q19" s="73"/>
      <c r="R19" s="73"/>
      <c r="S19" s="45">
        <v>3.0</v>
      </c>
      <c r="T19" s="68">
        <v>105.0</v>
      </c>
      <c r="U19" s="69" t="str">
        <f t="shared" si="10"/>
        <v>8:40 Penalty shot cup (Аргентина) flame  - (Италия) masterp1ece</v>
      </c>
      <c r="V19" s="41" t="str">
        <f t="shared" si="11"/>
        <v>4:3</v>
      </c>
      <c r="W19" s="41"/>
      <c r="X19" s="41"/>
      <c r="Y19" s="41"/>
      <c r="Z19" s="41"/>
      <c r="AA19" s="41"/>
      <c r="AB19" s="41"/>
      <c r="AC19" s="41"/>
      <c r="AD19" s="41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</row>
    <row r="20" ht="15.75" customHeight="1">
      <c r="A20" s="65"/>
      <c r="B20" s="66">
        <v>0.3645833333333333</v>
      </c>
      <c r="C20" s="67" t="str">
        <f t="shared" ref="C20:C25" si="17">TRIM($D$5)</f>
        <v>Германия</v>
      </c>
      <c r="D20" s="67" t="str">
        <f t="shared" si="14"/>
        <v>Италия</v>
      </c>
      <c r="E20" s="67" t="str">
        <f t="shared" ref="E20:E25" si="18">$E$5</f>
        <v>CMEX</v>
      </c>
      <c r="F20" s="67" t="str">
        <f t="shared" si="15"/>
        <v>masterp1ece</v>
      </c>
      <c r="G20" s="55">
        <f t="shared" si="8"/>
        <v>4</v>
      </c>
      <c r="H20" s="57"/>
      <c r="I20" s="55">
        <f t="shared" si="16"/>
        <v>5</v>
      </c>
      <c r="J20" s="57"/>
      <c r="K20" s="67">
        <v>4.0</v>
      </c>
      <c r="L20" s="67">
        <v>5.0</v>
      </c>
      <c r="M20" s="62"/>
      <c r="N20" s="63">
        <v>1.0</v>
      </c>
      <c r="O20" s="73"/>
      <c r="P20" s="45"/>
      <c r="Q20" s="73"/>
      <c r="R20" s="73"/>
      <c r="S20" s="45">
        <v>1.0</v>
      </c>
      <c r="T20" s="68">
        <v>106.0</v>
      </c>
      <c r="U20" s="69" t="str">
        <f t="shared" si="10"/>
        <v>8:45 Penalty shot cup (Германия) CMEX  - (Италия) masterp1ece</v>
      </c>
      <c r="V20" s="41" t="str">
        <f t="shared" si="11"/>
        <v>4:5</v>
      </c>
      <c r="W20" s="41"/>
      <c r="X20" s="75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5"/>
      <c r="B21" s="66">
        <v>0.3680555555555556</v>
      </c>
      <c r="C21" s="67" t="str">
        <f t="shared" si="17"/>
        <v>Германия</v>
      </c>
      <c r="D21" s="67" t="str">
        <f t="shared" si="14"/>
        <v>Италия</v>
      </c>
      <c r="E21" s="67" t="str">
        <f t="shared" si="18"/>
        <v>CMEX</v>
      </c>
      <c r="F21" s="67" t="str">
        <f t="shared" si="15"/>
        <v>masterp1ece</v>
      </c>
      <c r="G21" s="55">
        <f t="shared" si="8"/>
        <v>2</v>
      </c>
      <c r="H21" s="57"/>
      <c r="I21" s="55">
        <f t="shared" si="16"/>
        <v>4</v>
      </c>
      <c r="J21" s="57"/>
      <c r="K21" s="67">
        <v>2.0</v>
      </c>
      <c r="L21" s="67">
        <v>4.0</v>
      </c>
      <c r="M21" s="45"/>
      <c r="N21" s="63">
        <v>2.0</v>
      </c>
      <c r="O21" s="73"/>
      <c r="P21" s="45"/>
      <c r="Q21" s="73"/>
      <c r="R21" s="73"/>
      <c r="S21" s="45">
        <v>2.0</v>
      </c>
      <c r="T21" s="68">
        <v>107.0</v>
      </c>
      <c r="U21" s="69" t="str">
        <f t="shared" si="10"/>
        <v>8:50 Penalty shot cup (Германия) CMEX  - (Италия) masterp1ece</v>
      </c>
      <c r="V21" s="41" t="str">
        <f t="shared" si="11"/>
        <v>2:4</v>
      </c>
      <c r="W21" s="41"/>
      <c r="X21" s="75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5"/>
      <c r="B22" s="66">
        <v>0.3715277777777778</v>
      </c>
      <c r="C22" s="67" t="str">
        <f t="shared" si="17"/>
        <v>Германия</v>
      </c>
      <c r="D22" s="67" t="str">
        <f t="shared" si="14"/>
        <v>Италия</v>
      </c>
      <c r="E22" s="67" t="str">
        <f t="shared" si="18"/>
        <v>CMEX</v>
      </c>
      <c r="F22" s="67" t="str">
        <f t="shared" si="15"/>
        <v>masterp1ece</v>
      </c>
      <c r="G22" s="55">
        <f t="shared" si="8"/>
        <v>5</v>
      </c>
      <c r="H22" s="57"/>
      <c r="I22" s="55">
        <f t="shared" si="16"/>
        <v>3</v>
      </c>
      <c r="J22" s="57" t="s">
        <v>42</v>
      </c>
      <c r="K22" s="67">
        <v>5.0</v>
      </c>
      <c r="L22" s="67">
        <v>3.0</v>
      </c>
      <c r="M22" s="45"/>
      <c r="N22" s="63">
        <v>3.0</v>
      </c>
      <c r="O22" s="45"/>
      <c r="P22" s="45"/>
      <c r="Q22" s="45"/>
      <c r="R22" s="45"/>
      <c r="S22" s="45">
        <v>3.0</v>
      </c>
      <c r="T22" s="68">
        <v>108.0</v>
      </c>
      <c r="U22" s="69" t="str">
        <f t="shared" si="10"/>
        <v>8:55 Penalty shot cup (Германия) CMEX  - (Италия) masterp1ece</v>
      </c>
      <c r="V22" s="41" t="str">
        <f t="shared" si="11"/>
        <v>5:3</v>
      </c>
      <c r="W22" s="41"/>
      <c r="X22" s="41"/>
      <c r="Y22" s="41"/>
      <c r="Z22" s="75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6">
        <v>0.375</v>
      </c>
      <c r="C23" s="67" t="str">
        <f t="shared" si="17"/>
        <v>Германия</v>
      </c>
      <c r="D23" s="67" t="str">
        <f t="shared" ref="D23:D28" si="19">TRIM($D$6)</f>
        <v>Аргентина</v>
      </c>
      <c r="E23" s="67" t="str">
        <f t="shared" si="18"/>
        <v>CMEX</v>
      </c>
      <c r="F23" s="67" t="str">
        <f t="shared" ref="F23:F28" si="20">$E$6</f>
        <v>flame</v>
      </c>
      <c r="G23" s="55">
        <f t="shared" si="8"/>
        <v>4</v>
      </c>
      <c r="H23" s="57"/>
      <c r="I23" s="55">
        <f t="shared" ref="I23:I29" si="21">SUM(L23)</f>
        <v>5</v>
      </c>
      <c r="J23" s="57"/>
      <c r="K23" s="67">
        <v>4.0</v>
      </c>
      <c r="L23" s="67">
        <v>5.0</v>
      </c>
      <c r="M23" s="45"/>
      <c r="N23" s="69">
        <v>1.0</v>
      </c>
      <c r="O23" s="45"/>
      <c r="P23" s="45"/>
      <c r="Q23" s="45"/>
      <c r="R23" s="45"/>
      <c r="S23" s="45">
        <v>1.0</v>
      </c>
      <c r="T23" s="68">
        <v>109.0</v>
      </c>
      <c r="U23" s="69" t="str">
        <f t="shared" si="10"/>
        <v>9:00 Penalty shot cup (Германия) CMEX  - (Аргентина) flame</v>
      </c>
      <c r="V23" s="41" t="str">
        <f t="shared" si="11"/>
        <v>4:5</v>
      </c>
      <c r="W23" s="41"/>
      <c r="X23" s="41"/>
      <c r="Y23" s="41"/>
      <c r="Z23" s="41"/>
      <c r="AA23" s="41"/>
      <c r="AB23" s="41"/>
      <c r="AC23" s="41"/>
      <c r="AD23" s="41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</row>
    <row r="24" ht="15.75" customHeight="1">
      <c r="A24" s="41"/>
      <c r="B24" s="66">
        <v>0.3784722222222222</v>
      </c>
      <c r="C24" s="67" t="str">
        <f t="shared" si="17"/>
        <v>Германия</v>
      </c>
      <c r="D24" s="67" t="str">
        <f t="shared" si="19"/>
        <v>Аргентина</v>
      </c>
      <c r="E24" s="67" t="str">
        <f t="shared" si="18"/>
        <v>CMEX</v>
      </c>
      <c r="F24" s="67" t="str">
        <f t="shared" si="20"/>
        <v>flame</v>
      </c>
      <c r="G24" s="55">
        <f t="shared" si="8"/>
        <v>4</v>
      </c>
      <c r="H24" s="57"/>
      <c r="I24" s="55">
        <f t="shared" si="21"/>
        <v>5</v>
      </c>
      <c r="J24" s="57"/>
      <c r="K24" s="67">
        <v>4.0</v>
      </c>
      <c r="L24" s="67">
        <v>5.0</v>
      </c>
      <c r="M24" s="45"/>
      <c r="N24" s="69">
        <v>2.0</v>
      </c>
      <c r="O24" s="45"/>
      <c r="P24" s="45"/>
      <c r="Q24" s="45"/>
      <c r="R24" s="45"/>
      <c r="S24" s="45">
        <v>2.0</v>
      </c>
      <c r="T24" s="68">
        <v>110.0</v>
      </c>
      <c r="U24" s="69" t="str">
        <f t="shared" si="10"/>
        <v>9:05 Penalty shot cup (Германия) CMEX  - (Аргентина) flame</v>
      </c>
      <c r="V24" s="41" t="str">
        <f t="shared" si="11"/>
        <v>4:5</v>
      </c>
      <c r="W24" s="41"/>
      <c r="X24" s="41"/>
      <c r="Y24" s="41"/>
      <c r="Z24" s="41"/>
      <c r="AA24" s="41"/>
      <c r="AB24" s="41"/>
      <c r="AC24" s="41"/>
      <c r="AD24" s="41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</row>
    <row r="25" ht="15.75" customHeight="1">
      <c r="A25" s="41"/>
      <c r="B25" s="66">
        <v>0.3819444444444444</v>
      </c>
      <c r="C25" s="67" t="str">
        <f t="shared" si="17"/>
        <v>Германия</v>
      </c>
      <c r="D25" s="67" t="str">
        <f t="shared" si="19"/>
        <v>Аргентина</v>
      </c>
      <c r="E25" s="67" t="str">
        <f t="shared" si="18"/>
        <v>CMEX</v>
      </c>
      <c r="F25" s="67" t="str">
        <f t="shared" si="20"/>
        <v>flame</v>
      </c>
      <c r="G25" s="55">
        <f t="shared" si="8"/>
        <v>4</v>
      </c>
      <c r="H25" s="57"/>
      <c r="I25" s="55">
        <f t="shared" si="21"/>
        <v>4</v>
      </c>
      <c r="J25" s="57"/>
      <c r="K25" s="76">
        <v>4.0</v>
      </c>
      <c r="L25" s="76">
        <v>4.0</v>
      </c>
      <c r="M25" s="45"/>
      <c r="N25" s="69">
        <v>3.0</v>
      </c>
      <c r="O25" s="45"/>
      <c r="P25" s="45"/>
      <c r="Q25" s="45"/>
      <c r="R25" s="45"/>
      <c r="S25" s="45">
        <v>3.0</v>
      </c>
      <c r="T25" s="68">
        <v>111.0</v>
      </c>
      <c r="U25" s="69" t="str">
        <f t="shared" si="10"/>
        <v>9:10 Penalty shot cup (Германия) CMEX  - (Аргентина) flame</v>
      </c>
      <c r="V25" s="41" t="str">
        <f t="shared" si="11"/>
        <v>4:4</v>
      </c>
      <c r="W25" s="41"/>
      <c r="X25" s="41"/>
      <c r="Y25" s="41"/>
      <c r="Z25" s="41"/>
      <c r="AA25" s="41"/>
      <c r="AB25" s="41"/>
      <c r="AC25" s="41"/>
      <c r="AD25" s="41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</row>
    <row r="26" ht="15.75" customHeight="1">
      <c r="A26" s="41"/>
      <c r="B26" s="66">
        <v>0.3854166666666667</v>
      </c>
      <c r="C26" s="67" t="str">
        <f t="shared" ref="C26:C31" si="22">TRIM($D$4)</f>
        <v>Италия</v>
      </c>
      <c r="D26" s="67" t="str">
        <f t="shared" si="19"/>
        <v>Аргентина</v>
      </c>
      <c r="E26" s="67" t="str">
        <f t="shared" ref="E26:E31" si="23">$E$4</f>
        <v>masterp1ece</v>
      </c>
      <c r="F26" s="67" t="str">
        <f t="shared" si="20"/>
        <v>flame</v>
      </c>
      <c r="G26" s="55">
        <f t="shared" si="8"/>
        <v>5</v>
      </c>
      <c r="H26" s="57"/>
      <c r="I26" s="55">
        <f t="shared" si="21"/>
        <v>3</v>
      </c>
      <c r="J26" s="57"/>
      <c r="K26" s="76">
        <v>5.0</v>
      </c>
      <c r="L26" s="76">
        <v>3.0</v>
      </c>
      <c r="M26" s="45"/>
      <c r="N26" s="69">
        <v>1.0</v>
      </c>
      <c r="O26" s="45"/>
      <c r="P26" s="45"/>
      <c r="Q26" s="45"/>
      <c r="R26" s="45"/>
      <c r="S26" s="45">
        <v>1.0</v>
      </c>
      <c r="T26" s="68">
        <v>112.0</v>
      </c>
      <c r="U26" s="69" t="str">
        <f t="shared" si="10"/>
        <v>9:15 Penalty shot cup (Италия) masterp1ece  - (Аргентина) flame</v>
      </c>
      <c r="V26" s="41" t="str">
        <f t="shared" si="11"/>
        <v>5:3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6">
        <v>0.3888888888888889</v>
      </c>
      <c r="C27" s="67" t="str">
        <f t="shared" si="22"/>
        <v>Италия</v>
      </c>
      <c r="D27" s="67" t="str">
        <f t="shared" si="19"/>
        <v>Аргентина</v>
      </c>
      <c r="E27" s="67" t="str">
        <f t="shared" si="23"/>
        <v>masterp1ece</v>
      </c>
      <c r="F27" s="67" t="str">
        <f t="shared" si="20"/>
        <v>flame</v>
      </c>
      <c r="G27" s="55">
        <f t="shared" si="8"/>
        <v>4</v>
      </c>
      <c r="H27" s="57"/>
      <c r="I27" s="55">
        <f t="shared" si="21"/>
        <v>2</v>
      </c>
      <c r="J27" s="57"/>
      <c r="K27" s="76">
        <v>4.0</v>
      </c>
      <c r="L27" s="76">
        <v>2.0</v>
      </c>
      <c r="M27" s="45"/>
      <c r="N27" s="69">
        <v>2.0</v>
      </c>
      <c r="O27" s="45"/>
      <c r="P27" s="45"/>
      <c r="Q27" s="45"/>
      <c r="R27" s="45"/>
      <c r="S27" s="45">
        <v>2.0</v>
      </c>
      <c r="T27" s="68">
        <v>113.0</v>
      </c>
      <c r="U27" s="69" t="str">
        <f t="shared" si="10"/>
        <v>9:20 Penalty shot cup (Италия) masterp1ece  - (Аргентина) flame</v>
      </c>
      <c r="V27" s="41" t="str">
        <f t="shared" si="11"/>
        <v>4:2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6">
        <v>0.3923611111111111</v>
      </c>
      <c r="C28" s="67" t="str">
        <f t="shared" si="22"/>
        <v>Италия</v>
      </c>
      <c r="D28" s="67" t="str">
        <f t="shared" si="19"/>
        <v>Аргентина</v>
      </c>
      <c r="E28" s="67" t="str">
        <f t="shared" si="23"/>
        <v>masterp1ece</v>
      </c>
      <c r="F28" s="67" t="str">
        <f t="shared" si="20"/>
        <v>flame</v>
      </c>
      <c r="G28" s="55">
        <f t="shared" si="8"/>
        <v>5</v>
      </c>
      <c r="H28" s="57"/>
      <c r="I28" s="55">
        <f t="shared" si="21"/>
        <v>3</v>
      </c>
      <c r="J28" s="57"/>
      <c r="K28" s="67">
        <v>5.0</v>
      </c>
      <c r="L28" s="67">
        <v>3.0</v>
      </c>
      <c r="M28" s="45"/>
      <c r="N28" s="69">
        <v>3.0</v>
      </c>
      <c r="O28" s="45"/>
      <c r="P28" s="45"/>
      <c r="Q28" s="45"/>
      <c r="R28" s="45"/>
      <c r="S28" s="45">
        <v>3.0</v>
      </c>
      <c r="T28" s="68">
        <v>114.0</v>
      </c>
      <c r="U28" s="69" t="str">
        <f t="shared" si="10"/>
        <v>9:25 Penalty shot cup (Италия) masterp1ece  - (Аргентина) flame</v>
      </c>
      <c r="V28" s="41" t="str">
        <f t="shared" si="11"/>
        <v>5:3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6">
        <v>0.3958333333333333</v>
      </c>
      <c r="C29" s="67" t="str">
        <f t="shared" si="22"/>
        <v>Италия</v>
      </c>
      <c r="D29" s="67" t="str">
        <f t="shared" ref="D29:D34" si="24">TRIM($D$5)</f>
        <v>Германия</v>
      </c>
      <c r="E29" s="67" t="str">
        <f t="shared" si="23"/>
        <v>masterp1ece</v>
      </c>
      <c r="F29" s="67" t="str">
        <f t="shared" ref="F29:F34" si="25">$E$5</f>
        <v>CMEX</v>
      </c>
      <c r="G29" s="55">
        <f t="shared" si="8"/>
        <v>3</v>
      </c>
      <c r="H29" s="57"/>
      <c r="I29" s="55">
        <f t="shared" si="21"/>
        <v>1</v>
      </c>
      <c r="J29" s="55"/>
      <c r="K29" s="77">
        <v>3.0</v>
      </c>
      <c r="L29" s="77">
        <v>1.0</v>
      </c>
      <c r="M29" s="45"/>
      <c r="N29" s="69">
        <v>1.0</v>
      </c>
      <c r="O29" s="45"/>
      <c r="P29" s="45"/>
      <c r="Q29" s="45"/>
      <c r="R29" s="45"/>
      <c r="S29" s="45">
        <v>1.0</v>
      </c>
      <c r="T29" s="68">
        <v>115.0</v>
      </c>
      <c r="U29" s="69" t="str">
        <f t="shared" si="10"/>
        <v>9:30 Penalty shot cup (Италия) masterp1ece  - (Германия) CMEX</v>
      </c>
      <c r="V29" s="41" t="str">
        <f t="shared" si="11"/>
        <v>3:1</v>
      </c>
      <c r="W29" s="41"/>
      <c r="X29" s="41"/>
      <c r="Y29" s="41"/>
      <c r="Z29" s="41"/>
      <c r="AA29" s="41"/>
      <c r="AB29" s="41"/>
      <c r="AC29" s="41"/>
      <c r="AD29" s="41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</row>
    <row r="30" ht="15.75" customHeight="1">
      <c r="A30" s="41"/>
      <c r="B30" s="66">
        <v>0.3993055555555556</v>
      </c>
      <c r="C30" s="67" t="str">
        <f t="shared" si="22"/>
        <v>Италия</v>
      </c>
      <c r="D30" s="67" t="str">
        <f t="shared" si="24"/>
        <v>Германия</v>
      </c>
      <c r="E30" s="67" t="str">
        <f t="shared" si="23"/>
        <v>masterp1ece</v>
      </c>
      <c r="F30" s="67" t="str">
        <f t="shared" si="25"/>
        <v>CMEX</v>
      </c>
      <c r="G30" s="55">
        <f t="shared" si="8"/>
        <v>4</v>
      </c>
      <c r="H30" s="57"/>
      <c r="I30" s="55">
        <f t="shared" ref="I30:I34" si="26">SUM(L30,O30)</f>
        <v>1</v>
      </c>
      <c r="J30" s="57"/>
      <c r="K30" s="67">
        <v>4.0</v>
      </c>
      <c r="L30" s="67">
        <v>1.0</v>
      </c>
      <c r="M30" s="45"/>
      <c r="N30" s="69">
        <v>2.0</v>
      </c>
      <c r="O30" s="45"/>
      <c r="P30" s="45"/>
      <c r="Q30" s="45"/>
      <c r="R30" s="45"/>
      <c r="S30" s="45">
        <v>2.0</v>
      </c>
      <c r="T30" s="68">
        <v>116.0</v>
      </c>
      <c r="U30" s="69" t="str">
        <f t="shared" si="10"/>
        <v>9:35 Penalty shot cup (Италия) masterp1ece  - (Германия) CMEX</v>
      </c>
      <c r="V30" s="41" t="str">
        <f t="shared" si="11"/>
        <v>4:1</v>
      </c>
      <c r="W30" s="41"/>
      <c r="X30" s="41"/>
      <c r="Y30" s="41"/>
      <c r="Z30" s="41"/>
      <c r="AA30" s="41"/>
      <c r="AB30" s="41"/>
      <c r="AC30" s="41"/>
      <c r="AD30" s="41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</row>
    <row r="31" ht="15.75" customHeight="1">
      <c r="A31" s="41"/>
      <c r="B31" s="66">
        <v>0.4027777777777778</v>
      </c>
      <c r="C31" s="67" t="str">
        <f t="shared" si="22"/>
        <v>Италия</v>
      </c>
      <c r="D31" s="67" t="str">
        <f t="shared" si="24"/>
        <v>Германия</v>
      </c>
      <c r="E31" s="67" t="str">
        <f t="shared" si="23"/>
        <v>masterp1ece</v>
      </c>
      <c r="F31" s="67" t="str">
        <f t="shared" si="25"/>
        <v>CMEX</v>
      </c>
      <c r="G31" s="55">
        <f t="shared" si="8"/>
        <v>2</v>
      </c>
      <c r="H31" s="57"/>
      <c r="I31" s="55">
        <f t="shared" si="26"/>
        <v>3</v>
      </c>
      <c r="J31" s="57"/>
      <c r="K31" s="67">
        <v>2.0</v>
      </c>
      <c r="L31" s="67">
        <v>3.0</v>
      </c>
      <c r="M31" s="45"/>
      <c r="N31" s="69">
        <v>3.0</v>
      </c>
      <c r="O31" s="45"/>
      <c r="P31" s="45"/>
      <c r="Q31" s="45"/>
      <c r="R31" s="45"/>
      <c r="S31" s="45">
        <v>3.0</v>
      </c>
      <c r="T31" s="68">
        <v>117.0</v>
      </c>
      <c r="U31" s="69" t="str">
        <f t="shared" si="10"/>
        <v>9:40 Penalty shot cup (Италия) masterp1ece  - (Германия) CMEX</v>
      </c>
      <c r="V31" s="41" t="str">
        <f t="shared" si="11"/>
        <v>2:3</v>
      </c>
      <c r="W31" s="41"/>
      <c r="X31" s="41"/>
      <c r="Y31" s="41"/>
      <c r="Z31" s="41"/>
      <c r="AA31" s="41"/>
      <c r="AB31" s="41"/>
      <c r="AC31" s="41"/>
      <c r="AD31" s="41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</row>
    <row r="32" ht="15.75" customHeight="1">
      <c r="A32" s="41"/>
      <c r="B32" s="66">
        <v>0.40625</v>
      </c>
      <c r="C32" s="67" t="str">
        <f t="shared" ref="C32:C37" si="27">TRIM($D$6)</f>
        <v>Аргентина</v>
      </c>
      <c r="D32" s="67" t="str">
        <f t="shared" si="24"/>
        <v>Германия</v>
      </c>
      <c r="E32" s="67" t="str">
        <f t="shared" ref="E32:E37" si="28">$E$6</f>
        <v>flame</v>
      </c>
      <c r="F32" s="67" t="str">
        <f t="shared" si="25"/>
        <v>CMEX</v>
      </c>
      <c r="G32" s="55">
        <f t="shared" si="8"/>
        <v>3</v>
      </c>
      <c r="H32" s="57"/>
      <c r="I32" s="55">
        <f t="shared" si="26"/>
        <v>4</v>
      </c>
      <c r="J32" s="57"/>
      <c r="K32" s="67">
        <v>3.0</v>
      </c>
      <c r="L32" s="67">
        <v>4.0</v>
      </c>
      <c r="M32" s="45"/>
      <c r="N32" s="69">
        <v>1.0</v>
      </c>
      <c r="O32" s="45"/>
      <c r="P32" s="45"/>
      <c r="Q32" s="45"/>
      <c r="R32" s="45"/>
      <c r="S32" s="45">
        <v>1.0</v>
      </c>
      <c r="T32" s="68">
        <v>118.0</v>
      </c>
      <c r="U32" s="69" t="str">
        <f t="shared" si="10"/>
        <v>9:45 Penalty shot cup (Аргентина) flame  - (Германия) CMEX</v>
      </c>
      <c r="V32" s="41" t="str">
        <f t="shared" si="11"/>
        <v>3:4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6">
        <v>0.4097222222222222</v>
      </c>
      <c r="C33" s="67" t="str">
        <f t="shared" si="27"/>
        <v>Аргентина</v>
      </c>
      <c r="D33" s="67" t="str">
        <f t="shared" si="24"/>
        <v>Германия</v>
      </c>
      <c r="E33" s="67" t="str">
        <f t="shared" si="28"/>
        <v>flame</v>
      </c>
      <c r="F33" s="67" t="str">
        <f t="shared" si="25"/>
        <v>CMEX</v>
      </c>
      <c r="G33" s="55">
        <f t="shared" si="8"/>
        <v>0</v>
      </c>
      <c r="H33" s="57"/>
      <c r="I33" s="55">
        <f t="shared" si="26"/>
        <v>0</v>
      </c>
      <c r="J33" s="57">
        <v>5.0</v>
      </c>
      <c r="K33" s="67" t="s">
        <v>42</v>
      </c>
      <c r="L33" s="67" t="s">
        <v>42</v>
      </c>
      <c r="M33" s="45"/>
      <c r="N33" s="69">
        <v>2.0</v>
      </c>
      <c r="O33" s="45"/>
      <c r="P33" s="45"/>
      <c r="Q33" s="45"/>
      <c r="R33" s="45"/>
      <c r="S33" s="45">
        <v>2.0</v>
      </c>
      <c r="T33" s="68">
        <v>119.0</v>
      </c>
      <c r="U33" s="69" t="str">
        <f t="shared" si="10"/>
        <v>9:50 Penalty shot cup (Аргентина) flame  - (Германия) CMEX</v>
      </c>
      <c r="V33" s="41" t="str">
        <f t="shared" si="11"/>
        <v>0:0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6">
        <v>0.4131944444444444</v>
      </c>
      <c r="C34" s="67" t="str">
        <f t="shared" si="27"/>
        <v>Аргентина</v>
      </c>
      <c r="D34" s="67" t="str">
        <f t="shared" si="24"/>
        <v>Германия</v>
      </c>
      <c r="E34" s="67" t="str">
        <f t="shared" si="28"/>
        <v>flame</v>
      </c>
      <c r="F34" s="67" t="str">
        <f t="shared" si="25"/>
        <v>CMEX</v>
      </c>
      <c r="G34" s="55">
        <f t="shared" si="8"/>
        <v>4</v>
      </c>
      <c r="H34" s="57"/>
      <c r="I34" s="55">
        <f t="shared" si="26"/>
        <v>3</v>
      </c>
      <c r="J34" s="57">
        <v>2.0</v>
      </c>
      <c r="K34" s="67">
        <v>4.0</v>
      </c>
      <c r="L34" s="67">
        <v>3.0</v>
      </c>
      <c r="M34" s="45"/>
      <c r="N34" s="69">
        <v>3.0</v>
      </c>
      <c r="O34" s="45"/>
      <c r="P34" s="45"/>
      <c r="Q34" s="45"/>
      <c r="R34" s="45"/>
      <c r="S34" s="45">
        <v>3.0</v>
      </c>
      <c r="T34" s="68">
        <v>120.0</v>
      </c>
      <c r="U34" s="69" t="str">
        <f t="shared" si="10"/>
        <v>9:55 Penalty shot cup (Аргентина) flame  - (Германия) CMEX</v>
      </c>
      <c r="V34" s="41" t="str">
        <f t="shared" si="11"/>
        <v>4:3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6">
        <v>0.4166666666666667</v>
      </c>
      <c r="C35" s="67" t="str">
        <f t="shared" si="27"/>
        <v>Аргентина</v>
      </c>
      <c r="D35" s="67" t="str">
        <f t="shared" ref="D35:D40" si="29">TRIM($D$4)</f>
        <v>Италия</v>
      </c>
      <c r="E35" s="67" t="str">
        <f t="shared" si="28"/>
        <v>flame</v>
      </c>
      <c r="F35" s="67" t="str">
        <f t="shared" ref="F35:F40" si="30">$E$4</f>
        <v>masterp1ece</v>
      </c>
      <c r="G35" s="55">
        <f t="shared" si="8"/>
        <v>3</v>
      </c>
      <c r="H35" s="57"/>
      <c r="I35" s="55">
        <f t="shared" ref="I35:I46" si="31">SUM(L35)</f>
        <v>3</v>
      </c>
      <c r="J35" s="57">
        <v>3.0</v>
      </c>
      <c r="K35" s="67">
        <v>3.0</v>
      </c>
      <c r="L35" s="67">
        <v>3.0</v>
      </c>
      <c r="M35" s="45"/>
      <c r="N35" s="69">
        <v>1.0</v>
      </c>
      <c r="O35" s="45"/>
      <c r="P35" s="45"/>
      <c r="Q35" s="45"/>
      <c r="R35" s="45"/>
      <c r="S35" s="45">
        <v>1.0</v>
      </c>
      <c r="T35" s="68">
        <v>121.0</v>
      </c>
      <c r="U35" s="69" t="str">
        <f t="shared" si="10"/>
        <v>10:00 Penalty shot cup (Аргентина) flame  - (Италия) masterp1ece</v>
      </c>
      <c r="V35" s="41" t="str">
        <f t="shared" si="11"/>
        <v>3:3</v>
      </c>
      <c r="W35" s="41"/>
      <c r="X35" s="41"/>
      <c r="Y35" s="41"/>
      <c r="Z35" s="41"/>
      <c r="AA35" s="41"/>
      <c r="AB35" s="41"/>
      <c r="AC35" s="41"/>
      <c r="AD35" s="41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</row>
    <row r="36" ht="15.75" customHeight="1">
      <c r="A36" s="41"/>
      <c r="B36" s="66">
        <v>0.4201388888888889</v>
      </c>
      <c r="C36" s="67" t="str">
        <f t="shared" si="27"/>
        <v>Аргентина</v>
      </c>
      <c r="D36" s="67" t="str">
        <f t="shared" si="29"/>
        <v>Италия</v>
      </c>
      <c r="E36" s="67" t="str">
        <f t="shared" si="28"/>
        <v>flame</v>
      </c>
      <c r="F36" s="67" t="str">
        <f t="shared" si="30"/>
        <v>masterp1ece</v>
      </c>
      <c r="G36" s="55">
        <f t="shared" si="8"/>
        <v>4</v>
      </c>
      <c r="H36" s="57"/>
      <c r="I36" s="55">
        <f t="shared" si="31"/>
        <v>3</v>
      </c>
      <c r="J36" s="57"/>
      <c r="K36" s="67">
        <v>4.0</v>
      </c>
      <c r="L36" s="67">
        <v>3.0</v>
      </c>
      <c r="M36" s="45"/>
      <c r="N36" s="69">
        <v>2.0</v>
      </c>
      <c r="O36" s="45"/>
      <c r="P36" s="45"/>
      <c r="Q36" s="45"/>
      <c r="R36" s="45"/>
      <c r="S36" s="45">
        <v>2.0</v>
      </c>
      <c r="T36" s="68">
        <v>122.0</v>
      </c>
      <c r="U36" s="69" t="str">
        <f t="shared" si="10"/>
        <v>10:05 Penalty shot cup (Аргентина) flame  - (Италия) masterp1ece</v>
      </c>
      <c r="V36" s="41" t="str">
        <f t="shared" si="11"/>
        <v>4:3</v>
      </c>
      <c r="W36" s="41"/>
      <c r="X36" s="41"/>
      <c r="Y36" s="41"/>
      <c r="Z36" s="41"/>
      <c r="AA36" s="41"/>
      <c r="AB36" s="41"/>
      <c r="AC36" s="41"/>
      <c r="AD36" s="41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</row>
    <row r="37" ht="15.75" customHeight="1">
      <c r="A37" s="41"/>
      <c r="B37" s="66">
        <v>0.4236111111111111</v>
      </c>
      <c r="C37" s="67" t="str">
        <f t="shared" si="27"/>
        <v>Аргентина</v>
      </c>
      <c r="D37" s="67" t="str">
        <f t="shared" si="29"/>
        <v>Италия</v>
      </c>
      <c r="E37" s="67" t="str">
        <f t="shared" si="28"/>
        <v>flame</v>
      </c>
      <c r="F37" s="67" t="str">
        <f t="shared" si="30"/>
        <v>masterp1ece</v>
      </c>
      <c r="G37" s="55">
        <f t="shared" si="8"/>
        <v>4</v>
      </c>
      <c r="H37" s="57"/>
      <c r="I37" s="55">
        <f t="shared" si="31"/>
        <v>2</v>
      </c>
      <c r="J37" s="57"/>
      <c r="K37" s="67">
        <v>4.0</v>
      </c>
      <c r="L37" s="67">
        <v>2.0</v>
      </c>
      <c r="M37" s="45"/>
      <c r="N37" s="69">
        <v>3.0</v>
      </c>
      <c r="O37" s="45"/>
      <c r="P37" s="45"/>
      <c r="Q37" s="45"/>
      <c r="R37" s="45"/>
      <c r="S37" s="45">
        <v>3.0</v>
      </c>
      <c r="T37" s="68">
        <v>123.0</v>
      </c>
      <c r="U37" s="69" t="str">
        <f t="shared" si="10"/>
        <v>10:10 Penalty shot cup (Аргентина) flame  - (Италия) masterp1ece</v>
      </c>
      <c r="V37" s="41" t="str">
        <f t="shared" si="11"/>
        <v>4:2</v>
      </c>
      <c r="W37" s="41"/>
      <c r="X37" s="41"/>
      <c r="Y37" s="41"/>
      <c r="Z37" s="41"/>
      <c r="AA37" s="41"/>
      <c r="AB37" s="41"/>
      <c r="AC37" s="41"/>
      <c r="AD37" s="41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</row>
    <row r="38" ht="15.75" customHeight="1">
      <c r="A38" s="41"/>
      <c r="B38" s="66">
        <v>0.4270833333333333</v>
      </c>
      <c r="C38" s="67" t="str">
        <f t="shared" ref="C38:C43" si="32">TRIM($D$5)</f>
        <v>Германия</v>
      </c>
      <c r="D38" s="67" t="str">
        <f t="shared" si="29"/>
        <v>Италия</v>
      </c>
      <c r="E38" s="67" t="str">
        <f t="shared" ref="E38:E43" si="33">$E$5</f>
        <v>CMEX</v>
      </c>
      <c r="F38" s="67" t="str">
        <f t="shared" si="30"/>
        <v>masterp1ece</v>
      </c>
      <c r="G38" s="55">
        <f t="shared" si="8"/>
        <v>5</v>
      </c>
      <c r="H38" s="41"/>
      <c r="I38" s="55">
        <f t="shared" si="31"/>
        <v>3</v>
      </c>
      <c r="J38" s="41"/>
      <c r="K38" s="67">
        <v>5.0</v>
      </c>
      <c r="L38" s="67">
        <v>3.0</v>
      </c>
      <c r="M38" s="75"/>
      <c r="N38" s="69"/>
      <c r="O38" s="41"/>
      <c r="P38" s="41"/>
      <c r="Q38" s="41"/>
      <c r="R38" s="41"/>
      <c r="S38" s="45">
        <v>1.0</v>
      </c>
      <c r="T38" s="68">
        <v>124.0</v>
      </c>
      <c r="U38" s="69" t="str">
        <f t="shared" si="10"/>
        <v>10:15 Penalty shot cup (Германия) CMEX  - (Италия) masterp1ece</v>
      </c>
      <c r="V38" s="41" t="str">
        <f t="shared" si="11"/>
        <v>5:3</v>
      </c>
      <c r="W38" s="78"/>
      <c r="X38" s="78"/>
      <c r="Y38" s="78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6">
        <v>0.4305555555555556</v>
      </c>
      <c r="C39" s="67" t="str">
        <f t="shared" si="32"/>
        <v>Германия</v>
      </c>
      <c r="D39" s="67" t="str">
        <f t="shared" si="29"/>
        <v>Италия</v>
      </c>
      <c r="E39" s="67" t="str">
        <f t="shared" si="33"/>
        <v>CMEX</v>
      </c>
      <c r="F39" s="67" t="str">
        <f t="shared" si="30"/>
        <v>masterp1ece</v>
      </c>
      <c r="G39" s="55">
        <f t="shared" si="8"/>
        <v>4</v>
      </c>
      <c r="H39" s="41"/>
      <c r="I39" s="55">
        <f t="shared" si="31"/>
        <v>4</v>
      </c>
      <c r="J39" s="41"/>
      <c r="K39" s="67">
        <v>4.0</v>
      </c>
      <c r="L39" s="67">
        <v>4.0</v>
      </c>
      <c r="M39" s="75"/>
      <c r="N39" s="69">
        <v>2.0</v>
      </c>
      <c r="O39" s="41"/>
      <c r="P39" s="41"/>
      <c r="Q39" s="41"/>
      <c r="R39" s="41"/>
      <c r="S39" s="45">
        <v>2.0</v>
      </c>
      <c r="T39" s="68">
        <v>125.0</v>
      </c>
      <c r="U39" s="69" t="str">
        <f t="shared" si="10"/>
        <v>10:20 Penalty shot cup (Германия) CMEX  - (Италия) masterp1ece</v>
      </c>
      <c r="V39" s="41" t="str">
        <f t="shared" si="11"/>
        <v>4:4</v>
      </c>
      <c r="W39" s="78"/>
      <c r="X39" s="78"/>
      <c r="Y39" s="78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6">
        <v>0.4340277777777778</v>
      </c>
      <c r="C40" s="67" t="str">
        <f t="shared" si="32"/>
        <v>Германия</v>
      </c>
      <c r="D40" s="67" t="str">
        <f t="shared" si="29"/>
        <v>Италия</v>
      </c>
      <c r="E40" s="67" t="str">
        <f t="shared" si="33"/>
        <v>CMEX</v>
      </c>
      <c r="F40" s="67" t="str">
        <f t="shared" si="30"/>
        <v>masterp1ece</v>
      </c>
      <c r="G40" s="55">
        <f t="shared" si="8"/>
        <v>5</v>
      </c>
      <c r="H40" s="41"/>
      <c r="I40" s="55">
        <f t="shared" si="31"/>
        <v>3</v>
      </c>
      <c r="J40" s="41"/>
      <c r="K40" s="67">
        <v>5.0</v>
      </c>
      <c r="L40" s="67">
        <v>3.0</v>
      </c>
      <c r="M40" s="42"/>
      <c r="N40" s="69">
        <v>3.0</v>
      </c>
      <c r="O40" s="41"/>
      <c r="P40" s="41"/>
      <c r="Q40" s="41"/>
      <c r="R40" s="41"/>
      <c r="S40" s="45">
        <v>3.0</v>
      </c>
      <c r="T40" s="68">
        <v>126.0</v>
      </c>
      <c r="U40" s="69" t="str">
        <f t="shared" si="10"/>
        <v>10:25 Penalty shot cup (Германия) CMEX  - (Италия) masterp1ece</v>
      </c>
      <c r="V40" s="41" t="str">
        <f t="shared" si="11"/>
        <v>5:3</v>
      </c>
      <c r="W40" s="78"/>
      <c r="X40" s="78"/>
      <c r="Y40" s="78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6">
        <v>0.4375</v>
      </c>
      <c r="C41" s="67" t="str">
        <f t="shared" si="32"/>
        <v>Германия</v>
      </c>
      <c r="D41" s="67" t="str">
        <f t="shared" ref="D41:D46" si="34">TRIM($D$6)</f>
        <v>Аргентина</v>
      </c>
      <c r="E41" s="67" t="str">
        <f t="shared" si="33"/>
        <v>CMEX</v>
      </c>
      <c r="F41" s="67" t="str">
        <f t="shared" ref="F41:F46" si="35">$E$6</f>
        <v>flame</v>
      </c>
      <c r="G41" s="55">
        <f t="shared" si="8"/>
        <v>4</v>
      </c>
      <c r="H41" s="41"/>
      <c r="I41" s="55">
        <f t="shared" si="31"/>
        <v>5</v>
      </c>
      <c r="J41" s="41"/>
      <c r="K41" s="67">
        <v>4.0</v>
      </c>
      <c r="L41" s="67">
        <v>5.0</v>
      </c>
      <c r="M41" s="42"/>
      <c r="N41" s="69">
        <v>3.0</v>
      </c>
      <c r="O41" s="41"/>
      <c r="P41" s="41"/>
      <c r="Q41" s="41"/>
      <c r="R41" s="41"/>
      <c r="S41" s="45">
        <v>1.0</v>
      </c>
      <c r="T41" s="68">
        <v>127.0</v>
      </c>
      <c r="U41" s="69" t="str">
        <f t="shared" si="10"/>
        <v>10:30 Penalty shot cup (Германия) CMEX  - (Аргентина) flame</v>
      </c>
      <c r="V41" s="41" t="str">
        <f t="shared" si="11"/>
        <v>4:5</v>
      </c>
      <c r="W41" s="78"/>
      <c r="X41" s="78"/>
      <c r="Y41" s="78"/>
      <c r="Z41" s="41"/>
      <c r="AA41" s="41"/>
      <c r="AB41" s="41"/>
      <c r="AC41" s="41"/>
      <c r="AD41" s="41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</row>
    <row r="42" ht="15.75" customHeight="1">
      <c r="A42" s="41"/>
      <c r="B42" s="66">
        <v>0.4409722222222222</v>
      </c>
      <c r="C42" s="67" t="str">
        <f t="shared" si="32"/>
        <v>Германия</v>
      </c>
      <c r="D42" s="67" t="str">
        <f t="shared" si="34"/>
        <v>Аргентина</v>
      </c>
      <c r="E42" s="67" t="str">
        <f t="shared" si="33"/>
        <v>CMEX</v>
      </c>
      <c r="F42" s="67" t="str">
        <f t="shared" si="35"/>
        <v>flame</v>
      </c>
      <c r="G42" s="55">
        <f t="shared" si="8"/>
        <v>5</v>
      </c>
      <c r="H42" s="41"/>
      <c r="I42" s="55">
        <f t="shared" si="31"/>
        <v>5</v>
      </c>
      <c r="J42" s="67"/>
      <c r="K42" s="67">
        <v>5.0</v>
      </c>
      <c r="L42" s="67">
        <v>5.0</v>
      </c>
      <c r="M42" s="42"/>
      <c r="N42" s="69">
        <v>3.0</v>
      </c>
      <c r="O42" s="41"/>
      <c r="P42" s="41"/>
      <c r="Q42" s="41"/>
      <c r="R42" s="41"/>
      <c r="S42" s="45">
        <v>2.0</v>
      </c>
      <c r="T42" s="68">
        <v>128.0</v>
      </c>
      <c r="U42" s="69" t="str">
        <f t="shared" si="10"/>
        <v>10:35 Penalty shot cup (Германия) CMEX  - (Аргентина) flame</v>
      </c>
      <c r="V42" s="41" t="str">
        <f t="shared" si="11"/>
        <v>5:5</v>
      </c>
      <c r="W42" s="78"/>
      <c r="X42" s="78"/>
      <c r="Y42" s="78"/>
      <c r="Z42" s="41"/>
      <c r="AA42" s="41"/>
      <c r="AB42" s="41"/>
      <c r="AC42" s="41"/>
      <c r="AD42" s="41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</row>
    <row r="43" ht="15.75" customHeight="1">
      <c r="A43" s="41"/>
      <c r="B43" s="66">
        <v>0.4444444444444444</v>
      </c>
      <c r="C43" s="67" t="str">
        <f t="shared" si="32"/>
        <v>Германия</v>
      </c>
      <c r="D43" s="67" t="str">
        <f t="shared" si="34"/>
        <v>Аргентина</v>
      </c>
      <c r="E43" s="67" t="str">
        <f t="shared" si="33"/>
        <v>CMEX</v>
      </c>
      <c r="F43" s="67" t="str">
        <f t="shared" si="35"/>
        <v>flame</v>
      </c>
      <c r="G43" s="55">
        <f t="shared" si="8"/>
        <v>4</v>
      </c>
      <c r="H43" s="41"/>
      <c r="I43" s="55">
        <f t="shared" si="31"/>
        <v>5</v>
      </c>
      <c r="J43" s="41"/>
      <c r="K43" s="67">
        <v>4.0</v>
      </c>
      <c r="L43" s="67">
        <v>5.0</v>
      </c>
      <c r="M43" s="42"/>
      <c r="N43" s="69">
        <v>3.0</v>
      </c>
      <c r="O43" s="41"/>
      <c r="P43" s="41"/>
      <c r="Q43" s="41"/>
      <c r="R43" s="41"/>
      <c r="S43" s="45">
        <v>3.0</v>
      </c>
      <c r="T43" s="68">
        <v>129.0</v>
      </c>
      <c r="U43" s="69" t="str">
        <f t="shared" si="10"/>
        <v>10:40 Penalty shot cup (Германия) CMEX  - (Аргентина) flame</v>
      </c>
      <c r="V43" s="41" t="str">
        <f t="shared" si="11"/>
        <v>4:5</v>
      </c>
      <c r="W43" s="78"/>
      <c r="X43" s="78"/>
      <c r="Y43" s="78"/>
      <c r="Z43" s="41"/>
      <c r="AA43" s="41"/>
      <c r="AB43" s="41"/>
      <c r="AC43" s="41"/>
      <c r="AD43" s="41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</row>
    <row r="44" ht="15.75" customHeight="1">
      <c r="A44" s="41"/>
      <c r="B44" s="66">
        <v>0.4479166666666667</v>
      </c>
      <c r="C44" s="67" t="str">
        <f t="shared" ref="C44:C46" si="36">TRIM($D$4)</f>
        <v>Италия</v>
      </c>
      <c r="D44" s="67" t="str">
        <f t="shared" si="34"/>
        <v>Аргентина</v>
      </c>
      <c r="E44" s="67" t="str">
        <f t="shared" ref="E44:E46" si="37">$E$4</f>
        <v>masterp1ece</v>
      </c>
      <c r="F44" s="67" t="str">
        <f t="shared" si="35"/>
        <v>flame</v>
      </c>
      <c r="G44" s="55">
        <f t="shared" si="8"/>
        <v>5</v>
      </c>
      <c r="H44" s="41"/>
      <c r="I44" s="55">
        <f t="shared" si="31"/>
        <v>3</v>
      </c>
      <c r="J44" s="41"/>
      <c r="K44" s="67">
        <v>5.0</v>
      </c>
      <c r="L44" s="67">
        <v>3.0</v>
      </c>
      <c r="M44" s="42"/>
      <c r="N44" s="69">
        <v>3.0</v>
      </c>
      <c r="O44" s="41"/>
      <c r="P44" s="41"/>
      <c r="Q44" s="41"/>
      <c r="R44" s="41"/>
      <c r="S44" s="45">
        <v>1.0</v>
      </c>
      <c r="T44" s="68">
        <v>130.0</v>
      </c>
      <c r="U44" s="69" t="str">
        <f t="shared" si="10"/>
        <v>10:45 Penalty shot cup (Италия) masterp1ece  - (Аргентина) flame</v>
      </c>
      <c r="V44" s="41" t="str">
        <f t="shared" si="11"/>
        <v>5:3</v>
      </c>
      <c r="W44" s="78"/>
      <c r="X44" s="78"/>
      <c r="Y44" s="78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6">
        <v>0.4513888888888889</v>
      </c>
      <c r="C45" s="67" t="str">
        <f t="shared" si="36"/>
        <v>Италия</v>
      </c>
      <c r="D45" s="67" t="str">
        <f t="shared" si="34"/>
        <v>Аргентина</v>
      </c>
      <c r="E45" s="67" t="str">
        <f t="shared" si="37"/>
        <v>masterp1ece</v>
      </c>
      <c r="F45" s="67" t="str">
        <f t="shared" si="35"/>
        <v>flame</v>
      </c>
      <c r="G45" s="55">
        <f t="shared" si="8"/>
        <v>4</v>
      </c>
      <c r="H45" s="41"/>
      <c r="I45" s="55">
        <f t="shared" si="31"/>
        <v>1</v>
      </c>
      <c r="J45" s="41"/>
      <c r="K45" s="67">
        <v>4.0</v>
      </c>
      <c r="L45" s="67">
        <v>1.0</v>
      </c>
      <c r="M45" s="42"/>
      <c r="N45" s="69">
        <v>3.0</v>
      </c>
      <c r="O45" s="41"/>
      <c r="P45" s="41"/>
      <c r="Q45" s="41"/>
      <c r="R45" s="41"/>
      <c r="S45" s="45">
        <v>2.0</v>
      </c>
      <c r="T45" s="68">
        <v>131.0</v>
      </c>
      <c r="U45" s="69" t="str">
        <f t="shared" si="10"/>
        <v>10:50 Penalty shot cup (Италия) masterp1ece  - (Аргентина) flame</v>
      </c>
      <c r="V45" s="41" t="str">
        <f t="shared" si="11"/>
        <v>4:1</v>
      </c>
      <c r="W45" s="78"/>
      <c r="X45" s="78"/>
      <c r="Y45" s="78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6">
        <v>0.4548611111111111</v>
      </c>
      <c r="C46" s="67" t="str">
        <f t="shared" si="36"/>
        <v>Италия</v>
      </c>
      <c r="D46" s="67" t="str">
        <f t="shared" si="34"/>
        <v>Аргентина</v>
      </c>
      <c r="E46" s="67" t="str">
        <f t="shared" si="37"/>
        <v>masterp1ece</v>
      </c>
      <c r="F46" s="67" t="str">
        <f t="shared" si="35"/>
        <v>flame</v>
      </c>
      <c r="G46" s="55">
        <f t="shared" si="8"/>
        <v>4</v>
      </c>
      <c r="H46" s="41"/>
      <c r="I46" s="55">
        <f t="shared" si="31"/>
        <v>4</v>
      </c>
      <c r="J46" s="41"/>
      <c r="K46" s="67">
        <v>4.0</v>
      </c>
      <c r="L46" s="67">
        <v>4.0</v>
      </c>
      <c r="M46" s="42"/>
      <c r="N46" s="69">
        <v>3.0</v>
      </c>
      <c r="O46" s="41"/>
      <c r="P46" s="41"/>
      <c r="Q46" s="41"/>
      <c r="R46" s="41"/>
      <c r="S46" s="45">
        <v>3.0</v>
      </c>
      <c r="T46" s="68">
        <v>132.0</v>
      </c>
      <c r="U46" s="69" t="str">
        <f t="shared" si="10"/>
        <v>10:55 Penalty shot cup (Италия) masterp1ece  - (Аргентина) flame</v>
      </c>
      <c r="V46" s="41" t="str">
        <f t="shared" si="11"/>
        <v>4:4</v>
      </c>
      <c r="W46" s="78"/>
      <c r="X46" s="78"/>
      <c r="Y46" s="78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5"/>
      <c r="L47" s="45"/>
      <c r="M47" s="42"/>
      <c r="N47" s="46"/>
      <c r="O47" s="41"/>
      <c r="P47" s="41"/>
      <c r="Q47" s="41"/>
      <c r="R47" s="41"/>
      <c r="S47" s="41"/>
      <c r="T47" s="45"/>
      <c r="U47" s="78"/>
      <c r="V47" s="78"/>
      <c r="W47" s="78"/>
      <c r="X47" s="78"/>
      <c r="Y47" s="78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45719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45719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9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8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81</v>
      </c>
      <c r="AL3" s="32">
        <f t="array" ref="AL3">SUMIF('ТУР2'!home,AF3,'ТУР2'!visitorscore)+SUMIF('ТУР2'!visitor,AF3,'ТУР2'!homescore)</f>
        <v>76</v>
      </c>
      <c r="AM3" s="7">
        <f t="shared" ref="AM3:AM5" si="2">AK3-AL3</f>
        <v>5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3500050081</v>
      </c>
    </row>
    <row r="4">
      <c r="A4" s="11"/>
      <c r="B4" s="8"/>
      <c r="C4" s="85" t="str">
        <f>'ТУР1'!$C$4</f>
        <v>Эдуард А.</v>
      </c>
      <c r="D4" s="34" t="s">
        <v>46</v>
      </c>
      <c r="E4" s="85" t="str">
        <f>'ТУР1'!$E$4</f>
        <v>masterp1ece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81</v>
      </c>
      <c r="AA4" s="26">
        <f t="array" ref="AA4">VLOOKUP($U4,$AF$3:$AN$5,7,0)</f>
        <v>76</v>
      </c>
      <c r="AB4" s="26">
        <f t="array" ref="AB4">VLOOKUP($U4,$AF$3:$AN$5,8,0)</f>
        <v>5</v>
      </c>
      <c r="AC4" s="26">
        <f t="array" ref="AC4">VLOOKUP($U4,$AF$3:$AN$5,9,0)</f>
        <v>35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7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11</v>
      </c>
      <c r="AJ4" s="7">
        <f t="array" ref="AJ4">SUM(('ТУР2'!home=AF4)*('ТУР2'!homescore&lt;'ТУР2'!visitorscore),('ТУР2'!visitor=AF4)*('ТУР2'!visitorscore&lt;'ТУР2'!homescore))</f>
        <v>6</v>
      </c>
      <c r="AK4" s="31">
        <f t="array" ref="AK4">SUMIF('ТУР2'!home,AF4,'ТУР2'!homescore)+SUMIF('ТУР2'!visitor,AF4,'ТУР2'!visitorscore)</f>
        <v>78</v>
      </c>
      <c r="AL4" s="32">
        <f t="array" ref="AL4">SUMIF('ТУР2'!home,AF4,'ТУР2'!visitorscore)+SUMIF('ТУР2'!visitor,AF4,'ТУР2'!homescore)</f>
        <v>78</v>
      </c>
      <c r="AM4" s="7">
        <f t="shared" si="2"/>
        <v>0</v>
      </c>
      <c r="AN4" s="31">
        <f t="array" ref="AN4">AH4*Options!$B$2+AI4*Options!$B$3+AJ4*Options!$B$4+VLOOKUP(AF4,$E$4:$F$9,2,0)</f>
        <v>32</v>
      </c>
      <c r="AO4" s="11">
        <f t="shared" si="3"/>
        <v>3200000078</v>
      </c>
    </row>
    <row r="5">
      <c r="A5" s="11"/>
      <c r="B5" s="8"/>
      <c r="C5" s="86" t="str">
        <f>'ТУР1'!$C$5</f>
        <v>Рим С.</v>
      </c>
      <c r="D5" s="34" t="s">
        <v>47</v>
      </c>
      <c r="E5" s="85" t="str">
        <f>'ТУР1'!$E$5</f>
        <v>CMEX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78</v>
      </c>
      <c r="AA5" s="26">
        <f t="array" ref="AA5">VLOOKUP($U5,$AF$3:$AN$5,7,0)</f>
        <v>78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4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13</v>
      </c>
      <c r="AJ5" s="7">
        <f t="array" ref="AJ5">SUM(('ТУР2'!home=AF5)*('ТУР2'!homescore&lt;'ТУР2'!visitorscore),('ТУР2'!visitor=AF5)*('ТУР2'!visitorscore&lt;'ТУР2'!homescore))</f>
        <v>7</v>
      </c>
      <c r="AK5" s="31">
        <f t="array" ref="AK5">SUMIF('ТУР2'!home,AF5,'ТУР2'!homescore)+SUMIF('ТУР2'!visitor,AF5,'ТУР2'!visitorscore)</f>
        <v>69</v>
      </c>
      <c r="AL5" s="32">
        <f t="array" ref="AL5">SUMIF('ТУР2'!home,AF5,'ТУР2'!visitorscore)+SUMIF('ТУР2'!visitor,AF5,'ТУР2'!homescore)</f>
        <v>74</v>
      </c>
      <c r="AM5" s="7">
        <f t="shared" si="2"/>
        <v>-5</v>
      </c>
      <c r="AN5" s="31">
        <f t="array" ref="AN5">AH5*Options!$B$2+AI5*Options!$B$3+AJ5*Options!$B$4+VLOOKUP(AF5,$E$4:$F$9,2,0)</f>
        <v>25</v>
      </c>
      <c r="AO5" s="11">
        <f t="shared" si="3"/>
        <v>2499950069</v>
      </c>
    </row>
    <row r="6">
      <c r="A6" s="11"/>
      <c r="B6" s="8"/>
      <c r="C6" s="86" t="str">
        <f>'ТУР1'!$C$6</f>
        <v>Андрей С.</v>
      </c>
      <c r="D6" s="34" t="s">
        <v>48</v>
      </c>
      <c r="E6" s="85" t="str">
        <f>'ТУР1'!$E$6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13</v>
      </c>
      <c r="Y6" s="26">
        <f t="array" ref="Y6">VLOOKUP($U6,$AF$3:$AN$5,5,0)</f>
        <v>7</v>
      </c>
      <c r="Z6" s="26">
        <f t="array" ref="Z6">VLOOKUP($U6,$AF$3:$AN$5,6,0)</f>
        <v>69</v>
      </c>
      <c r="AA6" s="26">
        <f t="array" ref="AA6">VLOOKUP($U6,$AF$3:$AN$5,7,0)</f>
        <v>74</v>
      </c>
      <c r="AB6" s="26">
        <f t="array" ref="AB6">VLOOKUP($U6,$AF$3:$AN$5,8,0)</f>
        <v>-5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5"/>
      <c r="D7" s="51"/>
      <c r="E7" s="52"/>
      <c r="F7" s="45"/>
      <c r="G7" s="45"/>
      <c r="H7" s="45"/>
      <c r="I7" s="45"/>
      <c r="J7" s="45"/>
      <c r="K7" s="45"/>
      <c r="L7" s="45"/>
      <c r="M7" s="42"/>
      <c r="N7" s="46"/>
      <c r="O7" s="45"/>
      <c r="P7" s="45"/>
      <c r="Q7" s="45"/>
      <c r="R7" s="45"/>
      <c r="S7" s="45"/>
      <c r="T7" s="45"/>
      <c r="U7" s="53"/>
      <c r="V7" s="45"/>
      <c r="W7" s="45"/>
      <c r="X7" s="45"/>
      <c r="Y7" s="45"/>
      <c r="Z7" s="45"/>
      <c r="AA7" s="45"/>
      <c r="AB7" s="45"/>
      <c r="AC7" s="45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4" t="s">
        <v>33</v>
      </c>
      <c r="C8" s="55" t="s">
        <v>14</v>
      </c>
      <c r="D8" s="55" t="s">
        <v>14</v>
      </c>
      <c r="E8" s="55" t="s">
        <v>34</v>
      </c>
      <c r="F8" s="55" t="s">
        <v>35</v>
      </c>
      <c r="G8" s="56" t="s">
        <v>36</v>
      </c>
      <c r="H8" s="16"/>
      <c r="I8" s="4"/>
      <c r="J8" s="5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5"/>
      <c r="D9" s="45"/>
      <c r="E9" s="45"/>
      <c r="F9" s="45"/>
      <c r="G9" s="45"/>
      <c r="H9" s="45"/>
      <c r="I9" s="45"/>
      <c r="J9" s="45"/>
      <c r="K9" s="45"/>
      <c r="L9" s="45"/>
      <c r="M9" s="62"/>
      <c r="N9" s="63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4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62"/>
      <c r="N10" s="63"/>
      <c r="O10" s="45"/>
      <c r="P10" s="45"/>
      <c r="Q10" s="45"/>
      <c r="R10" s="45"/>
      <c r="S10" s="45"/>
      <c r="T10" s="45"/>
      <c r="U10" s="45"/>
      <c r="V10" s="45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5"/>
      <c r="B11" s="66">
        <v>0.4583333333333333</v>
      </c>
      <c r="C11" s="67" t="str">
        <f t="shared" ref="C11:C13" si="4">TRIM($D$4)</f>
        <v>Нидерланды</v>
      </c>
      <c r="D11" s="67" t="str">
        <f t="shared" ref="D11:D16" si="5">TRIM($D$5)</f>
        <v>Англия</v>
      </c>
      <c r="E11" s="67" t="str">
        <f t="shared" ref="E11:E13" si="6">$E$4</f>
        <v>masterp1ece</v>
      </c>
      <c r="F11" s="67" t="str">
        <f t="shared" ref="F11:F16" si="7">$E$5</f>
        <v>CMEX</v>
      </c>
      <c r="G11" s="55">
        <f t="shared" ref="G11:G46" si="8">SUM(K11)</f>
        <v>5</v>
      </c>
      <c r="H11" s="57"/>
      <c r="I11" s="55">
        <f t="shared" ref="I11:I17" si="9">SUM(L11)</f>
        <v>3</v>
      </c>
      <c r="J11" s="57"/>
      <c r="K11" s="67">
        <v>5.0</v>
      </c>
      <c r="L11" s="67">
        <v>3.0</v>
      </c>
      <c r="M11" s="62">
        <v>5.0</v>
      </c>
      <c r="N11" s="63">
        <v>1.0</v>
      </c>
      <c r="O11" s="45"/>
      <c r="P11" s="45"/>
      <c r="Q11" s="45"/>
      <c r="R11" s="45"/>
      <c r="S11" s="45">
        <v>1.0</v>
      </c>
      <c r="T11" s="68">
        <v>133.0</v>
      </c>
      <c r="U11" s="69" t="str">
        <f t="shared" ref="U11:U46" si="10">TEXT(B11,"h:mm")&amp;" "&amp;($C$1)&amp;" ("&amp;C11&amp;") "&amp;E11&amp;" "&amp;" - ("&amp;D11&amp;") "&amp;F11&amp;""</f>
        <v>11:00 Penalty shot cup (Нидерланды) masterp1ece  - (Англия) CMEX</v>
      </c>
      <c r="V11" s="41" t="str">
        <f t="shared" ref="V11:V46" si="11">TEXT(G11,"0")&amp;":"&amp;TEXT(I11,"0")</f>
        <v>5:3</v>
      </c>
      <c r="W11" s="41"/>
      <c r="X11" s="41"/>
      <c r="Y11" s="41"/>
      <c r="Z11" s="41"/>
      <c r="AA11" s="41"/>
      <c r="AB11" s="41"/>
      <c r="AC11" s="41"/>
      <c r="AD11" s="41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65"/>
      <c r="B12" s="66">
        <v>0.4618055555555556</v>
      </c>
      <c r="C12" s="67" t="str">
        <f t="shared" si="4"/>
        <v>Нидерланды</v>
      </c>
      <c r="D12" s="67" t="str">
        <f t="shared" si="5"/>
        <v>Англия</v>
      </c>
      <c r="E12" s="67" t="str">
        <f t="shared" si="6"/>
        <v>masterp1ece</v>
      </c>
      <c r="F12" s="67" t="str">
        <f t="shared" si="7"/>
        <v>CMEX</v>
      </c>
      <c r="G12" s="55">
        <f t="shared" si="8"/>
        <v>3</v>
      </c>
      <c r="H12" s="57"/>
      <c r="I12" s="55">
        <f t="shared" si="9"/>
        <v>4</v>
      </c>
      <c r="J12" s="57"/>
      <c r="K12" s="67">
        <v>3.0</v>
      </c>
      <c r="L12" s="67">
        <v>4.0</v>
      </c>
      <c r="M12" s="62"/>
      <c r="N12" s="63">
        <v>2.0</v>
      </c>
      <c r="O12" s="45"/>
      <c r="P12" s="45"/>
      <c r="Q12" s="45"/>
      <c r="R12" s="45"/>
      <c r="S12" s="45">
        <v>2.0</v>
      </c>
      <c r="T12" s="68">
        <v>134.0</v>
      </c>
      <c r="U12" s="69" t="str">
        <f t="shared" si="10"/>
        <v>11:05 Penalty shot cup (Нидерланды) masterp1ece  - (Англия) CMEX</v>
      </c>
      <c r="V12" s="41" t="str">
        <f t="shared" si="11"/>
        <v>3:4</v>
      </c>
      <c r="W12" s="41"/>
      <c r="X12" s="41"/>
      <c r="Y12" s="41"/>
      <c r="Z12" s="41"/>
      <c r="AA12" s="41"/>
      <c r="AB12" s="41"/>
      <c r="AC12" s="41"/>
      <c r="AD12" s="41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65"/>
      <c r="B13" s="66">
        <v>0.4652777777777778</v>
      </c>
      <c r="C13" s="67" t="str">
        <f t="shared" si="4"/>
        <v>Нидерланды</v>
      </c>
      <c r="D13" s="67" t="str">
        <f t="shared" si="5"/>
        <v>Англия</v>
      </c>
      <c r="E13" s="67" t="str">
        <f t="shared" si="6"/>
        <v>masterp1ece</v>
      </c>
      <c r="F13" s="67" t="str">
        <f t="shared" si="7"/>
        <v>CMEX</v>
      </c>
      <c r="G13" s="55">
        <f t="shared" si="8"/>
        <v>3</v>
      </c>
      <c r="H13" s="57"/>
      <c r="I13" s="55">
        <f t="shared" si="9"/>
        <v>4</v>
      </c>
      <c r="J13" s="57"/>
      <c r="K13" s="67">
        <v>3.0</v>
      </c>
      <c r="L13" s="67">
        <v>4.0</v>
      </c>
      <c r="M13" s="62">
        <v>4.0</v>
      </c>
      <c r="N13" s="63">
        <v>3.0</v>
      </c>
      <c r="O13" s="45"/>
      <c r="P13" s="45"/>
      <c r="Q13" s="45"/>
      <c r="R13" s="45"/>
      <c r="S13" s="45">
        <v>3.0</v>
      </c>
      <c r="T13" s="68">
        <v>135.0</v>
      </c>
      <c r="U13" s="69" t="str">
        <f t="shared" si="10"/>
        <v>11:10 Penalty shot cup (Нидерланды) masterp1ece  - (Англия) CMEX</v>
      </c>
      <c r="V13" s="41" t="str">
        <f t="shared" si="11"/>
        <v>3:4</v>
      </c>
      <c r="W13" s="41"/>
      <c r="X13" s="41"/>
      <c r="Y13" s="41"/>
      <c r="Z13" s="41"/>
      <c r="AA13" s="41"/>
      <c r="AB13" s="41"/>
      <c r="AC13" s="41"/>
      <c r="AD13" s="41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65"/>
      <c r="B14" s="66">
        <v>0.46875</v>
      </c>
      <c r="C14" s="67" t="str">
        <f t="shared" ref="C14:C19" si="12">TRIM($D$6)</f>
        <v>Португалия</v>
      </c>
      <c r="D14" s="67" t="str">
        <f t="shared" si="5"/>
        <v>Англия</v>
      </c>
      <c r="E14" s="67" t="str">
        <f t="shared" ref="E14:E19" si="13">$E$6</f>
        <v>flame</v>
      </c>
      <c r="F14" s="67" t="str">
        <f t="shared" si="7"/>
        <v>CMEX</v>
      </c>
      <c r="G14" s="55">
        <f t="shared" si="8"/>
        <v>5</v>
      </c>
      <c r="H14" s="57"/>
      <c r="I14" s="55">
        <f t="shared" si="9"/>
        <v>5</v>
      </c>
      <c r="J14" s="57"/>
      <c r="K14" s="67">
        <v>5.0</v>
      </c>
      <c r="L14" s="67">
        <v>5.0</v>
      </c>
      <c r="M14" s="62"/>
      <c r="N14" s="63">
        <v>1.0</v>
      </c>
      <c r="O14" s="45"/>
      <c r="P14" s="45"/>
      <c r="Q14" s="45"/>
      <c r="R14" s="45"/>
      <c r="S14" s="45">
        <v>1.0</v>
      </c>
      <c r="T14" s="68">
        <v>136.0</v>
      </c>
      <c r="U14" s="69" t="str">
        <f t="shared" si="10"/>
        <v>11:15 Penalty shot cup (Португалия) flame  - (Англия) CMEX</v>
      </c>
      <c r="V14" s="41" t="str">
        <f t="shared" si="11"/>
        <v>5:5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5"/>
      <c r="B15" s="66">
        <v>0.4722222222222222</v>
      </c>
      <c r="C15" s="67" t="str">
        <f t="shared" si="12"/>
        <v>Португалия</v>
      </c>
      <c r="D15" s="67" t="str">
        <f t="shared" si="5"/>
        <v>Англия</v>
      </c>
      <c r="E15" s="67" t="str">
        <f t="shared" si="13"/>
        <v>flame</v>
      </c>
      <c r="F15" s="67" t="str">
        <f t="shared" si="7"/>
        <v>CMEX</v>
      </c>
      <c r="G15" s="55">
        <f t="shared" si="8"/>
        <v>0</v>
      </c>
      <c r="H15" s="57"/>
      <c r="I15" s="55">
        <f t="shared" si="9"/>
        <v>0</v>
      </c>
      <c r="J15" s="57"/>
      <c r="K15" s="67" t="s">
        <v>42</v>
      </c>
      <c r="L15" s="67" t="s">
        <v>42</v>
      </c>
      <c r="M15" s="62"/>
      <c r="N15" s="63">
        <v>2.0</v>
      </c>
      <c r="O15" s="45"/>
      <c r="P15" s="45"/>
      <c r="Q15" s="45"/>
      <c r="R15" s="45"/>
      <c r="S15" s="45">
        <v>2.0</v>
      </c>
      <c r="T15" s="68">
        <v>137.0</v>
      </c>
      <c r="U15" s="69" t="str">
        <f t="shared" si="10"/>
        <v>11:20 Penalty shot cup (Португалия) flame  - (Англия) CMEX</v>
      </c>
      <c r="V15" s="41" t="str">
        <f t="shared" si="11"/>
        <v>0:0</v>
      </c>
      <c r="W15" s="41"/>
      <c r="X15" s="41"/>
      <c r="Y15" s="41"/>
      <c r="Z15" s="41"/>
      <c r="AA15" s="41"/>
      <c r="AB15" s="41"/>
      <c r="AC15" s="71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5"/>
      <c r="B16" s="66">
        <v>0.4756944444444444</v>
      </c>
      <c r="C16" s="67" t="str">
        <f t="shared" si="12"/>
        <v>Португалия</v>
      </c>
      <c r="D16" s="67" t="str">
        <f t="shared" si="5"/>
        <v>Англия</v>
      </c>
      <c r="E16" s="67" t="str">
        <f t="shared" si="13"/>
        <v>flame</v>
      </c>
      <c r="F16" s="67" t="str">
        <f t="shared" si="7"/>
        <v>CMEX</v>
      </c>
      <c r="G16" s="55">
        <f t="shared" si="8"/>
        <v>3</v>
      </c>
      <c r="H16" s="57"/>
      <c r="I16" s="55">
        <f t="shared" si="9"/>
        <v>4</v>
      </c>
      <c r="J16" s="57"/>
      <c r="K16" s="67">
        <v>3.0</v>
      </c>
      <c r="L16" s="67">
        <v>4.0</v>
      </c>
      <c r="M16" s="62"/>
      <c r="N16" s="63">
        <v>3.0</v>
      </c>
      <c r="O16" s="45"/>
      <c r="P16" s="45"/>
      <c r="Q16" s="45"/>
      <c r="R16" s="45"/>
      <c r="S16" s="45">
        <v>3.0</v>
      </c>
      <c r="T16" s="68">
        <v>138.0</v>
      </c>
      <c r="U16" s="69" t="str">
        <f t="shared" si="10"/>
        <v>11:25 Penalty shot cup (Португалия) flame  - (Англия) CMEX</v>
      </c>
      <c r="V16" s="41" t="str">
        <f t="shared" si="11"/>
        <v>3:4</v>
      </c>
      <c r="W16" s="41"/>
      <c r="X16" s="41"/>
      <c r="Y16" s="41"/>
      <c r="Z16" s="41"/>
      <c r="AA16" s="41"/>
      <c r="AB16" s="41"/>
      <c r="AC16" s="41"/>
      <c r="AD16" s="72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5"/>
      <c r="B17" s="66">
        <v>0.4791666666666667</v>
      </c>
      <c r="C17" s="67" t="str">
        <f t="shared" si="12"/>
        <v>Португалия</v>
      </c>
      <c r="D17" s="67" t="str">
        <f t="shared" ref="D17:D22" si="14">TRIM($D$4)</f>
        <v>Нидерланды</v>
      </c>
      <c r="E17" s="67" t="str">
        <f t="shared" si="13"/>
        <v>flame</v>
      </c>
      <c r="F17" s="67" t="str">
        <f t="shared" ref="F17:F22" si="15">$E$4</f>
        <v>masterp1ece</v>
      </c>
      <c r="G17" s="55">
        <f t="shared" si="8"/>
        <v>3</v>
      </c>
      <c r="H17" s="57"/>
      <c r="I17" s="55">
        <f t="shared" si="9"/>
        <v>4</v>
      </c>
      <c r="J17" s="57"/>
      <c r="K17" s="49">
        <v>3.0</v>
      </c>
      <c r="L17" s="49">
        <v>4.0</v>
      </c>
      <c r="M17" s="62"/>
      <c r="N17" s="63">
        <v>1.0</v>
      </c>
      <c r="O17" s="73"/>
      <c r="P17" s="45"/>
      <c r="Q17" s="73"/>
      <c r="R17" s="73"/>
      <c r="S17" s="45">
        <v>1.0</v>
      </c>
      <c r="T17" s="68">
        <v>139.0</v>
      </c>
      <c r="U17" s="69" t="str">
        <f t="shared" si="10"/>
        <v>11:30 Penalty shot cup (Португалия) flame  - (Нидерланды) masterp1ece</v>
      </c>
      <c r="V17" s="41" t="str">
        <f t="shared" si="11"/>
        <v>3:4</v>
      </c>
      <c r="W17" s="41"/>
      <c r="X17" s="41"/>
      <c r="Y17" s="41"/>
      <c r="Z17" s="41"/>
      <c r="AA17" s="41"/>
      <c r="AB17" s="41"/>
      <c r="AC17" s="41"/>
      <c r="AD17" s="41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65"/>
      <c r="B18" s="66">
        <v>0.4826388888888889</v>
      </c>
      <c r="C18" s="67" t="str">
        <f t="shared" si="12"/>
        <v>Португалия</v>
      </c>
      <c r="D18" s="67" t="str">
        <f t="shared" si="14"/>
        <v>Нидерланды</v>
      </c>
      <c r="E18" s="67" t="str">
        <f t="shared" si="13"/>
        <v>flame</v>
      </c>
      <c r="F18" s="67" t="str">
        <f t="shared" si="15"/>
        <v>masterp1ece</v>
      </c>
      <c r="G18" s="55">
        <f t="shared" si="8"/>
        <v>0</v>
      </c>
      <c r="H18" s="57"/>
      <c r="I18" s="55">
        <f t="shared" ref="I18:I22" si="16">SUM(L18,O18)</f>
        <v>0</v>
      </c>
      <c r="J18" s="57"/>
      <c r="K18" s="67" t="s">
        <v>42</v>
      </c>
      <c r="L18" s="67" t="s">
        <v>42</v>
      </c>
      <c r="M18" s="62"/>
      <c r="N18" s="63">
        <v>2.0</v>
      </c>
      <c r="O18" s="73"/>
      <c r="P18" s="45"/>
      <c r="Q18" s="73"/>
      <c r="R18" s="73"/>
      <c r="S18" s="45">
        <v>2.0</v>
      </c>
      <c r="T18" s="68">
        <v>140.0</v>
      </c>
      <c r="U18" s="69" t="str">
        <f t="shared" si="10"/>
        <v>11:35 Penalty shot cup (Португалия) flame  - (Нидерланды) masterp1ece</v>
      </c>
      <c r="V18" s="41" t="str">
        <f t="shared" si="11"/>
        <v>0:0</v>
      </c>
      <c r="W18" s="41"/>
      <c r="X18" s="41"/>
      <c r="Y18" s="41"/>
      <c r="Z18" s="41"/>
      <c r="AA18" s="41"/>
      <c r="AB18" s="41"/>
      <c r="AC18" s="41"/>
      <c r="AD18" s="41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65"/>
      <c r="B19" s="66">
        <v>0.4861111111111111</v>
      </c>
      <c r="C19" s="67" t="str">
        <f t="shared" si="12"/>
        <v>Португалия</v>
      </c>
      <c r="D19" s="67" t="str">
        <f t="shared" si="14"/>
        <v>Нидерланды</v>
      </c>
      <c r="E19" s="67" t="str">
        <f t="shared" si="13"/>
        <v>flame</v>
      </c>
      <c r="F19" s="67" t="str">
        <f t="shared" si="15"/>
        <v>masterp1ece</v>
      </c>
      <c r="G19" s="55">
        <f t="shared" si="8"/>
        <v>4</v>
      </c>
      <c r="H19" s="57"/>
      <c r="I19" s="55">
        <f t="shared" si="16"/>
        <v>5</v>
      </c>
      <c r="J19" s="57"/>
      <c r="K19" s="67">
        <v>4.0</v>
      </c>
      <c r="L19" s="67">
        <v>5.0</v>
      </c>
      <c r="M19" s="62">
        <v>2.0</v>
      </c>
      <c r="N19" s="63">
        <v>3.0</v>
      </c>
      <c r="O19" s="73"/>
      <c r="P19" s="45"/>
      <c r="Q19" s="73"/>
      <c r="R19" s="73"/>
      <c r="S19" s="45">
        <v>3.0</v>
      </c>
      <c r="T19" s="68">
        <v>141.0</v>
      </c>
      <c r="U19" s="69" t="str">
        <f t="shared" si="10"/>
        <v>11:40 Penalty shot cup (Португалия) flame  - (Нидерланды) masterp1ece</v>
      </c>
      <c r="V19" s="41" t="str">
        <f t="shared" si="11"/>
        <v>4:5</v>
      </c>
      <c r="W19" s="41"/>
      <c r="X19" s="41"/>
      <c r="Y19" s="41"/>
      <c r="Z19" s="41"/>
      <c r="AA19" s="41"/>
      <c r="AB19" s="41"/>
      <c r="AC19" s="41"/>
      <c r="AD19" s="41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65"/>
      <c r="B20" s="66">
        <v>0.4895833333333333</v>
      </c>
      <c r="C20" s="67" t="str">
        <f t="shared" ref="C20:C25" si="17">TRIM($D$5)</f>
        <v>Англия</v>
      </c>
      <c r="D20" s="67" t="str">
        <f t="shared" si="14"/>
        <v>Нидерланды</v>
      </c>
      <c r="E20" s="67" t="str">
        <f t="shared" ref="E20:E25" si="18">$E$5</f>
        <v>CMEX</v>
      </c>
      <c r="F20" s="67" t="str">
        <f t="shared" si="15"/>
        <v>masterp1ece</v>
      </c>
      <c r="G20" s="55">
        <f t="shared" si="8"/>
        <v>2</v>
      </c>
      <c r="H20" s="57"/>
      <c r="I20" s="55">
        <f t="shared" si="16"/>
        <v>4</v>
      </c>
      <c r="J20" s="57"/>
      <c r="K20" s="67">
        <v>2.0</v>
      </c>
      <c r="L20" s="67">
        <v>4.0</v>
      </c>
      <c r="M20" s="62"/>
      <c r="N20" s="63">
        <v>1.0</v>
      </c>
      <c r="O20" s="73"/>
      <c r="P20" s="45"/>
      <c r="Q20" s="73"/>
      <c r="R20" s="73"/>
      <c r="S20" s="45">
        <v>1.0</v>
      </c>
      <c r="T20" s="68">
        <v>142.0</v>
      </c>
      <c r="U20" s="69" t="str">
        <f t="shared" si="10"/>
        <v>11:45 Penalty shot cup (Англия) CMEX  - (Нидерланды) masterp1ece</v>
      </c>
      <c r="V20" s="41" t="str">
        <f t="shared" si="11"/>
        <v>2:4</v>
      </c>
      <c r="W20" s="41"/>
      <c r="X20" s="75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5"/>
      <c r="B21" s="66">
        <v>0.4930555555555556</v>
      </c>
      <c r="C21" s="67" t="str">
        <f t="shared" si="17"/>
        <v>Англия</v>
      </c>
      <c r="D21" s="67" t="str">
        <f t="shared" si="14"/>
        <v>Нидерланды</v>
      </c>
      <c r="E21" s="67" t="str">
        <f t="shared" si="18"/>
        <v>CMEX</v>
      </c>
      <c r="F21" s="67" t="str">
        <f t="shared" si="15"/>
        <v>masterp1ece</v>
      </c>
      <c r="G21" s="55">
        <f t="shared" si="8"/>
        <v>4</v>
      </c>
      <c r="H21" s="57"/>
      <c r="I21" s="55">
        <f t="shared" si="16"/>
        <v>4</v>
      </c>
      <c r="J21" s="57"/>
      <c r="K21" s="67">
        <v>4.0</v>
      </c>
      <c r="L21" s="67">
        <v>4.0</v>
      </c>
      <c r="M21" s="45"/>
      <c r="N21" s="63">
        <v>2.0</v>
      </c>
      <c r="O21" s="73"/>
      <c r="P21" s="45"/>
      <c r="Q21" s="73"/>
      <c r="R21" s="73"/>
      <c r="S21" s="45">
        <v>2.0</v>
      </c>
      <c r="T21" s="68">
        <v>143.0</v>
      </c>
      <c r="U21" s="69" t="str">
        <f t="shared" si="10"/>
        <v>11:50 Penalty shot cup (Англия) CMEX  - (Нидерланды) masterp1ece</v>
      </c>
      <c r="V21" s="41" t="str">
        <f t="shared" si="11"/>
        <v>4:4</v>
      </c>
      <c r="W21" s="41"/>
      <c r="X21" s="75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5"/>
      <c r="B22" s="66">
        <v>0.4965277777777778</v>
      </c>
      <c r="C22" s="67" t="str">
        <f t="shared" si="17"/>
        <v>Англия</v>
      </c>
      <c r="D22" s="67" t="str">
        <f t="shared" si="14"/>
        <v>Нидерланды</v>
      </c>
      <c r="E22" s="67" t="str">
        <f t="shared" si="18"/>
        <v>CMEX</v>
      </c>
      <c r="F22" s="67" t="str">
        <f t="shared" si="15"/>
        <v>masterp1ece</v>
      </c>
      <c r="G22" s="55">
        <f t="shared" si="8"/>
        <v>3</v>
      </c>
      <c r="H22" s="57"/>
      <c r="I22" s="55">
        <f t="shared" si="16"/>
        <v>1</v>
      </c>
      <c r="J22" s="57"/>
      <c r="K22" s="67">
        <v>3.0</v>
      </c>
      <c r="L22" s="67">
        <v>1.0</v>
      </c>
      <c r="M22" s="45"/>
      <c r="N22" s="63">
        <v>3.0</v>
      </c>
      <c r="O22" s="45"/>
      <c r="P22" s="45"/>
      <c r="Q22" s="45"/>
      <c r="R22" s="45"/>
      <c r="S22" s="45">
        <v>3.0</v>
      </c>
      <c r="T22" s="68">
        <v>144.0</v>
      </c>
      <c r="U22" s="69" t="str">
        <f t="shared" si="10"/>
        <v>11:55 Penalty shot cup (Англия) CMEX  - (Нидерланды) masterp1ece</v>
      </c>
      <c r="V22" s="41" t="str">
        <f t="shared" si="11"/>
        <v>3:1</v>
      </c>
      <c r="W22" s="41"/>
      <c r="X22" s="41"/>
      <c r="Y22" s="41"/>
      <c r="Z22" s="75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6">
        <v>0.5</v>
      </c>
      <c r="C23" s="67" t="str">
        <f t="shared" si="17"/>
        <v>Англия</v>
      </c>
      <c r="D23" s="67" t="str">
        <f t="shared" ref="D23:D28" si="19">TRIM($D$6)</f>
        <v>Португалия</v>
      </c>
      <c r="E23" s="67" t="str">
        <f t="shared" si="18"/>
        <v>CMEX</v>
      </c>
      <c r="F23" s="67" t="str">
        <f t="shared" ref="F23:F28" si="20">$E$6</f>
        <v>flame</v>
      </c>
      <c r="G23" s="55">
        <f t="shared" si="8"/>
        <v>3</v>
      </c>
      <c r="H23" s="57"/>
      <c r="I23" s="55">
        <f t="shared" ref="I23:I29" si="21">SUM(L23)</f>
        <v>3</v>
      </c>
      <c r="J23" s="57"/>
      <c r="K23" s="67">
        <v>3.0</v>
      </c>
      <c r="L23" s="67">
        <v>3.0</v>
      </c>
      <c r="M23" s="45"/>
      <c r="N23" s="69">
        <v>1.0</v>
      </c>
      <c r="O23" s="45"/>
      <c r="P23" s="45"/>
      <c r="Q23" s="45"/>
      <c r="R23" s="45"/>
      <c r="S23" s="45">
        <v>1.0</v>
      </c>
      <c r="T23" s="68">
        <v>145.0</v>
      </c>
      <c r="U23" s="69" t="str">
        <f t="shared" si="10"/>
        <v>12:00 Penalty shot cup (Англия) CMEX  - (Португалия) flame</v>
      </c>
      <c r="V23" s="41" t="str">
        <f t="shared" si="11"/>
        <v>3:3</v>
      </c>
      <c r="W23" s="41"/>
      <c r="X23" s="41"/>
      <c r="Y23" s="41"/>
      <c r="Z23" s="41"/>
      <c r="AA23" s="41"/>
      <c r="AB23" s="41"/>
      <c r="AC23" s="41"/>
      <c r="AD23" s="41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41"/>
      <c r="B24" s="66">
        <v>0.5034722222222222</v>
      </c>
      <c r="C24" s="67" t="str">
        <f t="shared" si="17"/>
        <v>Англия</v>
      </c>
      <c r="D24" s="67" t="str">
        <f t="shared" si="19"/>
        <v>Португалия</v>
      </c>
      <c r="E24" s="67" t="str">
        <f t="shared" si="18"/>
        <v>CMEX</v>
      </c>
      <c r="F24" s="67" t="str">
        <f t="shared" si="20"/>
        <v>flame</v>
      </c>
      <c r="G24" s="55">
        <f t="shared" si="8"/>
        <v>4</v>
      </c>
      <c r="H24" s="57"/>
      <c r="I24" s="55">
        <f t="shared" si="21"/>
        <v>5</v>
      </c>
      <c r="J24" s="57"/>
      <c r="K24" s="67">
        <v>4.0</v>
      </c>
      <c r="L24" s="67">
        <v>5.0</v>
      </c>
      <c r="M24" s="45"/>
      <c r="N24" s="69">
        <v>2.0</v>
      </c>
      <c r="O24" s="45"/>
      <c r="P24" s="45"/>
      <c r="Q24" s="45"/>
      <c r="R24" s="45"/>
      <c r="S24" s="45">
        <v>2.0</v>
      </c>
      <c r="T24" s="68">
        <v>146.0</v>
      </c>
      <c r="U24" s="69" t="str">
        <f t="shared" si="10"/>
        <v>12:05 Penalty shot cup (Англия) CMEX  - (Португалия) flame</v>
      </c>
      <c r="V24" s="41" t="str">
        <f t="shared" si="11"/>
        <v>4:5</v>
      </c>
      <c r="W24" s="41"/>
      <c r="X24" s="41"/>
      <c r="Y24" s="41"/>
      <c r="Z24" s="41"/>
      <c r="AA24" s="41"/>
      <c r="AB24" s="41"/>
      <c r="AC24" s="41"/>
      <c r="AD24" s="41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41"/>
      <c r="B25" s="66">
        <v>0.5069444444444444</v>
      </c>
      <c r="C25" s="67" t="str">
        <f t="shared" si="17"/>
        <v>Англия</v>
      </c>
      <c r="D25" s="67" t="str">
        <f t="shared" si="19"/>
        <v>Португалия</v>
      </c>
      <c r="E25" s="67" t="str">
        <f t="shared" si="18"/>
        <v>CMEX</v>
      </c>
      <c r="F25" s="67" t="str">
        <f t="shared" si="20"/>
        <v>flame</v>
      </c>
      <c r="G25" s="55">
        <f t="shared" si="8"/>
        <v>4</v>
      </c>
      <c r="H25" s="57"/>
      <c r="I25" s="55">
        <f t="shared" si="21"/>
        <v>4</v>
      </c>
      <c r="J25" s="57"/>
      <c r="K25" s="76">
        <v>4.0</v>
      </c>
      <c r="L25" s="76">
        <v>4.0</v>
      </c>
      <c r="M25" s="45"/>
      <c r="N25" s="69">
        <v>3.0</v>
      </c>
      <c r="O25" s="45"/>
      <c r="P25" s="45"/>
      <c r="Q25" s="45"/>
      <c r="R25" s="45"/>
      <c r="S25" s="45">
        <v>3.0</v>
      </c>
      <c r="T25" s="68">
        <v>147.0</v>
      </c>
      <c r="U25" s="69" t="str">
        <f t="shared" si="10"/>
        <v>12:10 Penalty shot cup (Англия) CMEX  - (Португалия) flame</v>
      </c>
      <c r="V25" s="41" t="str">
        <f t="shared" si="11"/>
        <v>4:4</v>
      </c>
      <c r="W25" s="41"/>
      <c r="X25" s="41"/>
      <c r="Y25" s="41"/>
      <c r="Z25" s="41"/>
      <c r="AA25" s="41"/>
      <c r="AB25" s="41"/>
      <c r="AC25" s="41"/>
      <c r="AD25" s="41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41"/>
      <c r="B26" s="66">
        <v>0.5104166666666666</v>
      </c>
      <c r="C26" s="67" t="str">
        <f t="shared" ref="C26:C31" si="22">TRIM($D$4)</f>
        <v>Нидерланды</v>
      </c>
      <c r="D26" s="67" t="str">
        <f t="shared" si="19"/>
        <v>Португалия</v>
      </c>
      <c r="E26" s="67" t="str">
        <f t="shared" ref="E26:E31" si="23">$E$4</f>
        <v>masterp1ece</v>
      </c>
      <c r="F26" s="67" t="str">
        <f t="shared" si="20"/>
        <v>flame</v>
      </c>
      <c r="G26" s="55">
        <f t="shared" si="8"/>
        <v>0</v>
      </c>
      <c r="H26" s="57"/>
      <c r="I26" s="55">
        <f t="shared" si="21"/>
        <v>0</v>
      </c>
      <c r="J26" s="57"/>
      <c r="K26" s="76" t="s">
        <v>42</v>
      </c>
      <c r="L26" s="76" t="s">
        <v>42</v>
      </c>
      <c r="M26" s="45"/>
      <c r="N26" s="69">
        <v>1.0</v>
      </c>
      <c r="O26" s="45"/>
      <c r="P26" s="45"/>
      <c r="Q26" s="45"/>
      <c r="R26" s="45"/>
      <c r="S26" s="45">
        <v>1.0</v>
      </c>
      <c r="T26" s="68">
        <v>148.0</v>
      </c>
      <c r="U26" s="69" t="str">
        <f t="shared" si="10"/>
        <v>12:15 Penalty shot cup (Нидерланды) masterp1ece  - (Португалия) flame</v>
      </c>
      <c r="V26" s="41" t="str">
        <f t="shared" si="11"/>
        <v>0:0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6">
        <v>0.5138888888888888</v>
      </c>
      <c r="C27" s="67" t="str">
        <f t="shared" si="22"/>
        <v>Нидерланды</v>
      </c>
      <c r="D27" s="67" t="str">
        <f t="shared" si="19"/>
        <v>Португалия</v>
      </c>
      <c r="E27" s="67" t="str">
        <f t="shared" si="23"/>
        <v>masterp1ece</v>
      </c>
      <c r="F27" s="67" t="str">
        <f t="shared" si="20"/>
        <v>flame</v>
      </c>
      <c r="G27" s="55">
        <f t="shared" si="8"/>
        <v>3</v>
      </c>
      <c r="H27" s="57"/>
      <c r="I27" s="55">
        <f t="shared" si="21"/>
        <v>3</v>
      </c>
      <c r="J27" s="57"/>
      <c r="K27" s="76">
        <v>3.0</v>
      </c>
      <c r="L27" s="76">
        <v>3.0</v>
      </c>
      <c r="M27" s="45"/>
      <c r="N27" s="69">
        <v>2.0</v>
      </c>
      <c r="O27" s="45"/>
      <c r="P27" s="45"/>
      <c r="Q27" s="45"/>
      <c r="R27" s="45"/>
      <c r="S27" s="45">
        <v>2.0</v>
      </c>
      <c r="T27" s="68">
        <v>149.0</v>
      </c>
      <c r="U27" s="69" t="str">
        <f t="shared" si="10"/>
        <v>12:20 Penalty shot cup (Нидерланды) masterp1ece  - (Португалия) flame</v>
      </c>
      <c r="V27" s="41" t="str">
        <f t="shared" si="11"/>
        <v>3:3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6">
        <v>0.5173611111111112</v>
      </c>
      <c r="C28" s="67" t="str">
        <f t="shared" si="22"/>
        <v>Нидерланды</v>
      </c>
      <c r="D28" s="67" t="str">
        <f t="shared" si="19"/>
        <v>Португалия</v>
      </c>
      <c r="E28" s="67" t="str">
        <f t="shared" si="23"/>
        <v>masterp1ece</v>
      </c>
      <c r="F28" s="67" t="str">
        <f t="shared" si="20"/>
        <v>flame</v>
      </c>
      <c r="G28" s="55">
        <f t="shared" si="8"/>
        <v>3</v>
      </c>
      <c r="H28" s="57"/>
      <c r="I28" s="55">
        <f t="shared" si="21"/>
        <v>4</v>
      </c>
      <c r="J28" s="77"/>
      <c r="K28" s="74">
        <v>3.0</v>
      </c>
      <c r="L28" s="67">
        <v>4.0</v>
      </c>
      <c r="M28" s="45"/>
      <c r="N28" s="69">
        <v>3.0</v>
      </c>
      <c r="O28" s="45"/>
      <c r="P28" s="45"/>
      <c r="Q28" s="45"/>
      <c r="R28" s="45"/>
      <c r="S28" s="45">
        <v>3.0</v>
      </c>
      <c r="T28" s="68">
        <v>150.0</v>
      </c>
      <c r="U28" s="69" t="str">
        <f t="shared" si="10"/>
        <v>12:25 Penalty shot cup (Нидерланды) masterp1ece  - (Португалия) flame</v>
      </c>
      <c r="V28" s="41" t="str">
        <f t="shared" si="11"/>
        <v>3:4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6">
        <v>0.5208333333333334</v>
      </c>
      <c r="C29" s="67" t="str">
        <f t="shared" si="22"/>
        <v>Нидерланды</v>
      </c>
      <c r="D29" s="67" t="str">
        <f t="shared" ref="D29:D34" si="24">TRIM($D$5)</f>
        <v>Англия</v>
      </c>
      <c r="E29" s="67" t="str">
        <f t="shared" si="23"/>
        <v>masterp1ece</v>
      </c>
      <c r="F29" s="67" t="str">
        <f t="shared" ref="F29:F34" si="25">$E$5</f>
        <v>CMEX</v>
      </c>
      <c r="G29" s="55">
        <f t="shared" si="8"/>
        <v>5</v>
      </c>
      <c r="H29" s="57"/>
      <c r="I29" s="55">
        <f t="shared" si="21"/>
        <v>5</v>
      </c>
      <c r="J29" s="55"/>
      <c r="K29" s="77">
        <v>5.0</v>
      </c>
      <c r="L29" s="67">
        <v>5.0</v>
      </c>
      <c r="M29" s="45"/>
      <c r="N29" s="69">
        <v>1.0</v>
      </c>
      <c r="O29" s="45"/>
      <c r="P29" s="45"/>
      <c r="Q29" s="45"/>
      <c r="R29" s="45"/>
      <c r="S29" s="45">
        <v>1.0</v>
      </c>
      <c r="T29" s="68">
        <v>151.0</v>
      </c>
      <c r="U29" s="69" t="str">
        <f t="shared" si="10"/>
        <v>12:30 Penalty shot cup (Нидерланды) masterp1ece  - (Англия) CMEX</v>
      </c>
      <c r="V29" s="41" t="str">
        <f t="shared" si="11"/>
        <v>5:5</v>
      </c>
      <c r="W29" s="41"/>
      <c r="X29" s="41"/>
      <c r="Y29" s="41"/>
      <c r="Z29" s="41"/>
      <c r="AA29" s="41"/>
      <c r="AB29" s="41"/>
      <c r="AC29" s="41"/>
      <c r="AD29" s="41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41"/>
      <c r="B30" s="66">
        <v>0.5243055555555556</v>
      </c>
      <c r="C30" s="67" t="str">
        <f t="shared" si="22"/>
        <v>Нидерланды</v>
      </c>
      <c r="D30" s="67" t="str">
        <f t="shared" si="24"/>
        <v>Англия</v>
      </c>
      <c r="E30" s="67" t="str">
        <f t="shared" si="23"/>
        <v>masterp1ece</v>
      </c>
      <c r="F30" s="67" t="str">
        <f t="shared" si="25"/>
        <v>CMEX</v>
      </c>
      <c r="G30" s="55">
        <f t="shared" si="8"/>
        <v>2</v>
      </c>
      <c r="H30" s="57"/>
      <c r="I30" s="55">
        <f t="shared" ref="I30:I34" si="26">SUM(L30,O30)</f>
        <v>4</v>
      </c>
      <c r="J30" s="57"/>
      <c r="K30" s="67">
        <v>2.0</v>
      </c>
      <c r="L30" s="67">
        <v>4.0</v>
      </c>
      <c r="M30" s="45"/>
      <c r="N30" s="69">
        <v>2.0</v>
      </c>
      <c r="O30" s="45"/>
      <c r="P30" s="45"/>
      <c r="Q30" s="45"/>
      <c r="R30" s="45"/>
      <c r="S30" s="45">
        <v>2.0</v>
      </c>
      <c r="T30" s="68">
        <v>152.0</v>
      </c>
      <c r="U30" s="69" t="str">
        <f t="shared" si="10"/>
        <v>12:35 Penalty shot cup (Нидерланды) masterp1ece  - (Англия) CMEX</v>
      </c>
      <c r="V30" s="41" t="str">
        <f t="shared" si="11"/>
        <v>2:4</v>
      </c>
      <c r="W30" s="41"/>
      <c r="X30" s="41"/>
      <c r="Y30" s="41"/>
      <c r="Z30" s="41"/>
      <c r="AA30" s="41"/>
      <c r="AB30" s="41"/>
      <c r="AC30" s="41"/>
      <c r="AD30" s="41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41"/>
      <c r="B31" s="66">
        <v>0.5277777777777778</v>
      </c>
      <c r="C31" s="67" t="str">
        <f t="shared" si="22"/>
        <v>Нидерланды</v>
      </c>
      <c r="D31" s="67" t="str">
        <f t="shared" si="24"/>
        <v>Англия</v>
      </c>
      <c r="E31" s="67" t="str">
        <f t="shared" si="23"/>
        <v>masterp1ece</v>
      </c>
      <c r="F31" s="67" t="str">
        <f t="shared" si="25"/>
        <v>CMEX</v>
      </c>
      <c r="G31" s="55">
        <f t="shared" si="8"/>
        <v>4</v>
      </c>
      <c r="H31" s="57"/>
      <c r="I31" s="55">
        <f t="shared" si="26"/>
        <v>2</v>
      </c>
      <c r="J31" s="57"/>
      <c r="K31" s="67">
        <v>4.0</v>
      </c>
      <c r="L31" s="67">
        <v>2.0</v>
      </c>
      <c r="M31" s="45"/>
      <c r="N31" s="69">
        <v>3.0</v>
      </c>
      <c r="O31" s="45"/>
      <c r="P31" s="45"/>
      <c r="Q31" s="45"/>
      <c r="R31" s="45"/>
      <c r="S31" s="45">
        <v>3.0</v>
      </c>
      <c r="T31" s="68">
        <v>153.0</v>
      </c>
      <c r="U31" s="69" t="str">
        <f t="shared" si="10"/>
        <v>12:40 Penalty shot cup (Нидерланды) masterp1ece  - (Англия) CMEX</v>
      </c>
      <c r="V31" s="41" t="str">
        <f t="shared" si="11"/>
        <v>4:2</v>
      </c>
      <c r="W31" s="41"/>
      <c r="X31" s="41"/>
      <c r="Y31" s="41"/>
      <c r="Z31" s="41"/>
      <c r="AA31" s="41"/>
      <c r="AB31" s="41"/>
      <c r="AC31" s="41"/>
      <c r="AD31" s="41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41"/>
      <c r="B32" s="66">
        <v>0.53125</v>
      </c>
      <c r="C32" s="67" t="str">
        <f t="shared" ref="C32:C37" si="27">TRIM($D$6)</f>
        <v>Португалия</v>
      </c>
      <c r="D32" s="67" t="str">
        <f t="shared" si="24"/>
        <v>Англия</v>
      </c>
      <c r="E32" s="67" t="str">
        <f t="shared" ref="E32:E37" si="28">$E$6</f>
        <v>flame</v>
      </c>
      <c r="F32" s="67" t="str">
        <f t="shared" si="25"/>
        <v>CMEX</v>
      </c>
      <c r="G32" s="55">
        <f t="shared" si="8"/>
        <v>3</v>
      </c>
      <c r="H32" s="57"/>
      <c r="I32" s="55">
        <f t="shared" si="26"/>
        <v>4</v>
      </c>
      <c r="J32" s="57"/>
      <c r="K32" s="67">
        <v>3.0</v>
      </c>
      <c r="L32" s="67">
        <v>4.0</v>
      </c>
      <c r="M32" s="45"/>
      <c r="N32" s="69">
        <v>1.0</v>
      </c>
      <c r="O32" s="45"/>
      <c r="P32" s="45"/>
      <c r="Q32" s="45"/>
      <c r="R32" s="45"/>
      <c r="S32" s="45">
        <v>1.0</v>
      </c>
      <c r="T32" s="68">
        <v>154.0</v>
      </c>
      <c r="U32" s="69" t="str">
        <f t="shared" si="10"/>
        <v>12:45 Penalty shot cup (Португалия) flame  - (Англия) CMEX</v>
      </c>
      <c r="V32" s="41" t="str">
        <f t="shared" si="11"/>
        <v>3:4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6">
        <v>0.5347222222222222</v>
      </c>
      <c r="C33" s="67" t="str">
        <f t="shared" si="27"/>
        <v>Португалия</v>
      </c>
      <c r="D33" s="67" t="str">
        <f t="shared" si="24"/>
        <v>Англия</v>
      </c>
      <c r="E33" s="67" t="str">
        <f t="shared" si="28"/>
        <v>flame</v>
      </c>
      <c r="F33" s="67" t="str">
        <f t="shared" si="25"/>
        <v>CMEX</v>
      </c>
      <c r="G33" s="55">
        <f t="shared" si="8"/>
        <v>5</v>
      </c>
      <c r="H33" s="57"/>
      <c r="I33" s="55">
        <f t="shared" si="26"/>
        <v>5</v>
      </c>
      <c r="J33" s="57">
        <v>5.0</v>
      </c>
      <c r="K33" s="67">
        <v>5.0</v>
      </c>
      <c r="L33" s="67">
        <v>5.0</v>
      </c>
      <c r="M33" s="45"/>
      <c r="N33" s="69">
        <v>2.0</v>
      </c>
      <c r="O33" s="45"/>
      <c r="P33" s="45"/>
      <c r="Q33" s="45"/>
      <c r="R33" s="45"/>
      <c r="S33" s="45">
        <v>2.0</v>
      </c>
      <c r="T33" s="68">
        <v>155.0</v>
      </c>
      <c r="U33" s="69" t="str">
        <f t="shared" si="10"/>
        <v>12:50 Penalty shot cup (Португалия) flame  - (Англия) CMEX</v>
      </c>
      <c r="V33" s="41" t="str">
        <f t="shared" si="11"/>
        <v>5:5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6">
        <v>0.5381944444444444</v>
      </c>
      <c r="C34" s="67" t="str">
        <f t="shared" si="27"/>
        <v>Португалия</v>
      </c>
      <c r="D34" s="67" t="str">
        <f t="shared" si="24"/>
        <v>Англия</v>
      </c>
      <c r="E34" s="67" t="str">
        <f t="shared" si="28"/>
        <v>flame</v>
      </c>
      <c r="F34" s="67" t="str">
        <f t="shared" si="25"/>
        <v>CMEX</v>
      </c>
      <c r="G34" s="55">
        <f t="shared" si="8"/>
        <v>0</v>
      </c>
      <c r="H34" s="57"/>
      <c r="I34" s="55">
        <f t="shared" si="26"/>
        <v>0</v>
      </c>
      <c r="J34" s="57"/>
      <c r="K34" s="67" t="s">
        <v>42</v>
      </c>
      <c r="L34" s="67" t="s">
        <v>42</v>
      </c>
      <c r="M34" s="45"/>
      <c r="N34" s="69">
        <v>3.0</v>
      </c>
      <c r="O34" s="45"/>
      <c r="P34" s="45"/>
      <c r="Q34" s="45"/>
      <c r="R34" s="45"/>
      <c r="S34" s="45">
        <v>3.0</v>
      </c>
      <c r="T34" s="68">
        <v>156.0</v>
      </c>
      <c r="U34" s="69" t="str">
        <f t="shared" si="10"/>
        <v>12:55 Penalty shot cup (Португалия) flame  - (Англия) CMEX</v>
      </c>
      <c r="V34" s="41" t="str">
        <f t="shared" si="11"/>
        <v>0:0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6">
        <v>0.5416666666666666</v>
      </c>
      <c r="C35" s="67" t="str">
        <f t="shared" si="27"/>
        <v>Португалия</v>
      </c>
      <c r="D35" s="67" t="str">
        <f t="shared" ref="D35:D40" si="29">TRIM($D$4)</f>
        <v>Нидерланды</v>
      </c>
      <c r="E35" s="67" t="str">
        <f t="shared" si="28"/>
        <v>flame</v>
      </c>
      <c r="F35" s="67" t="str">
        <f t="shared" ref="F35:F40" si="30">$E$4</f>
        <v>masterp1ece</v>
      </c>
      <c r="G35" s="55">
        <f t="shared" si="8"/>
        <v>3</v>
      </c>
      <c r="H35" s="57"/>
      <c r="I35" s="55">
        <f t="shared" ref="I35:I46" si="31">SUM(L35)</f>
        <v>2</v>
      </c>
      <c r="J35" s="57"/>
      <c r="K35" s="67">
        <v>3.0</v>
      </c>
      <c r="L35" s="67">
        <v>2.0</v>
      </c>
      <c r="M35" s="45"/>
      <c r="N35" s="69">
        <v>1.0</v>
      </c>
      <c r="O35" s="45"/>
      <c r="P35" s="45"/>
      <c r="Q35" s="45"/>
      <c r="R35" s="45"/>
      <c r="S35" s="45">
        <v>1.0</v>
      </c>
      <c r="T35" s="68">
        <v>157.0</v>
      </c>
      <c r="U35" s="69" t="str">
        <f t="shared" si="10"/>
        <v>13:00 Penalty shot cup (Португалия) flame  - (Нидерланды) masterp1ece</v>
      </c>
      <c r="V35" s="41" t="str">
        <f t="shared" si="11"/>
        <v>3:2</v>
      </c>
      <c r="W35" s="41"/>
      <c r="X35" s="41"/>
      <c r="Y35" s="41"/>
      <c r="Z35" s="41"/>
      <c r="AA35" s="41"/>
      <c r="AB35" s="41"/>
      <c r="AC35" s="41"/>
      <c r="AD35" s="41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41"/>
      <c r="B36" s="66">
        <v>0.5451388888888888</v>
      </c>
      <c r="C36" s="67" t="str">
        <f t="shared" si="27"/>
        <v>Португалия</v>
      </c>
      <c r="D36" s="67" t="str">
        <f t="shared" si="29"/>
        <v>Нидерланды</v>
      </c>
      <c r="E36" s="67" t="str">
        <f t="shared" si="28"/>
        <v>flame</v>
      </c>
      <c r="F36" s="67" t="str">
        <f t="shared" si="30"/>
        <v>masterp1ece</v>
      </c>
      <c r="G36" s="55">
        <f t="shared" si="8"/>
        <v>4</v>
      </c>
      <c r="H36" s="57"/>
      <c r="I36" s="55">
        <f t="shared" si="31"/>
        <v>4</v>
      </c>
      <c r="J36" s="57"/>
      <c r="K36" s="67">
        <v>4.0</v>
      </c>
      <c r="L36" s="67">
        <v>4.0</v>
      </c>
      <c r="M36" s="45"/>
      <c r="N36" s="69">
        <v>2.0</v>
      </c>
      <c r="O36" s="45"/>
      <c r="P36" s="45"/>
      <c r="Q36" s="45"/>
      <c r="R36" s="45"/>
      <c r="S36" s="45">
        <v>2.0</v>
      </c>
      <c r="T36" s="68">
        <v>158.0</v>
      </c>
      <c r="U36" s="69" t="str">
        <f t="shared" si="10"/>
        <v>13:05 Penalty shot cup (Португалия) flame  - (Нидерланды) masterp1ece</v>
      </c>
      <c r="V36" s="41" t="str">
        <f t="shared" si="11"/>
        <v>4:4</v>
      </c>
      <c r="W36" s="41"/>
      <c r="X36" s="41"/>
      <c r="Y36" s="41"/>
      <c r="Z36" s="41"/>
      <c r="AA36" s="41"/>
      <c r="AB36" s="41"/>
      <c r="AC36" s="41"/>
      <c r="AD36" s="41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41"/>
      <c r="B37" s="66">
        <v>0.5486111111111112</v>
      </c>
      <c r="C37" s="67" t="str">
        <f t="shared" si="27"/>
        <v>Португалия</v>
      </c>
      <c r="D37" s="67" t="str">
        <f t="shared" si="29"/>
        <v>Нидерланды</v>
      </c>
      <c r="E37" s="67" t="str">
        <f t="shared" si="28"/>
        <v>flame</v>
      </c>
      <c r="F37" s="67" t="str">
        <f t="shared" si="30"/>
        <v>masterp1ece</v>
      </c>
      <c r="G37" s="55">
        <f t="shared" si="8"/>
        <v>3</v>
      </c>
      <c r="H37" s="57"/>
      <c r="I37" s="55">
        <f t="shared" si="31"/>
        <v>3</v>
      </c>
      <c r="J37" s="57"/>
      <c r="K37" s="67">
        <v>3.0</v>
      </c>
      <c r="L37" s="67">
        <v>3.0</v>
      </c>
      <c r="M37" s="45"/>
      <c r="N37" s="69">
        <v>3.0</v>
      </c>
      <c r="O37" s="45"/>
      <c r="P37" s="45"/>
      <c r="Q37" s="45"/>
      <c r="R37" s="45"/>
      <c r="S37" s="45">
        <v>3.0</v>
      </c>
      <c r="T37" s="68">
        <v>159.0</v>
      </c>
      <c r="U37" s="69" t="str">
        <f t="shared" si="10"/>
        <v>13:10 Penalty shot cup (Португалия) flame  - (Нидерланды) masterp1ece</v>
      </c>
      <c r="V37" s="41" t="str">
        <f t="shared" si="11"/>
        <v>3:3</v>
      </c>
      <c r="W37" s="41"/>
      <c r="X37" s="41"/>
      <c r="Y37" s="41"/>
      <c r="Z37" s="41"/>
      <c r="AA37" s="41"/>
      <c r="AB37" s="41"/>
      <c r="AC37" s="41"/>
      <c r="AD37" s="41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41"/>
      <c r="B38" s="66">
        <v>0.5520833333333334</v>
      </c>
      <c r="C38" s="67" t="str">
        <f t="shared" ref="C38:C43" si="32">TRIM($D$5)</f>
        <v>Англия</v>
      </c>
      <c r="D38" s="67" t="str">
        <f t="shared" si="29"/>
        <v>Нидерланды</v>
      </c>
      <c r="E38" s="67" t="str">
        <f t="shared" ref="E38:E43" si="33">$E$5</f>
        <v>CMEX</v>
      </c>
      <c r="F38" s="67" t="str">
        <f t="shared" si="30"/>
        <v>masterp1ece</v>
      </c>
      <c r="G38" s="55">
        <f t="shared" si="8"/>
        <v>2</v>
      </c>
      <c r="H38" s="41"/>
      <c r="I38" s="55">
        <f t="shared" si="31"/>
        <v>4</v>
      </c>
      <c r="J38" s="41"/>
      <c r="K38" s="67">
        <v>2.0</v>
      </c>
      <c r="L38" s="67">
        <v>4.0</v>
      </c>
      <c r="M38" s="75"/>
      <c r="N38" s="69">
        <v>1.0</v>
      </c>
      <c r="O38" s="41"/>
      <c r="P38" s="41"/>
      <c r="Q38" s="41"/>
      <c r="R38" s="41"/>
      <c r="S38" s="45">
        <v>1.0</v>
      </c>
      <c r="T38" s="68">
        <v>160.0</v>
      </c>
      <c r="U38" s="69" t="str">
        <f t="shared" si="10"/>
        <v>13:15 Penalty shot cup (Англия) CMEX  - (Нидерланды) masterp1ece</v>
      </c>
      <c r="V38" s="41" t="str">
        <f t="shared" si="11"/>
        <v>2:4</v>
      </c>
      <c r="W38" s="78"/>
      <c r="X38" s="78"/>
      <c r="Y38" s="78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6">
        <v>0.5555555555555556</v>
      </c>
      <c r="C39" s="67" t="str">
        <f t="shared" si="32"/>
        <v>Англия</v>
      </c>
      <c r="D39" s="67" t="str">
        <f t="shared" si="29"/>
        <v>Нидерланды</v>
      </c>
      <c r="E39" s="67" t="str">
        <f t="shared" si="33"/>
        <v>CMEX</v>
      </c>
      <c r="F39" s="67" t="str">
        <f t="shared" si="30"/>
        <v>masterp1ece</v>
      </c>
      <c r="G39" s="55">
        <f t="shared" si="8"/>
        <v>4</v>
      </c>
      <c r="H39" s="41"/>
      <c r="I39" s="55">
        <f t="shared" si="31"/>
        <v>5</v>
      </c>
      <c r="J39" s="41"/>
      <c r="K39" s="67">
        <v>4.0</v>
      </c>
      <c r="L39" s="67">
        <v>5.0</v>
      </c>
      <c r="M39" s="75"/>
      <c r="N39" s="69">
        <v>2.0</v>
      </c>
      <c r="O39" s="41"/>
      <c r="P39" s="41"/>
      <c r="Q39" s="41"/>
      <c r="R39" s="41"/>
      <c r="S39" s="45">
        <v>2.0</v>
      </c>
      <c r="T39" s="68">
        <v>161.0</v>
      </c>
      <c r="U39" s="69" t="str">
        <f t="shared" si="10"/>
        <v>13:20 Penalty shot cup (Англия) CMEX  - (Нидерланды) masterp1ece</v>
      </c>
      <c r="V39" s="41" t="str">
        <f t="shared" si="11"/>
        <v>4:5</v>
      </c>
      <c r="W39" s="78"/>
      <c r="X39" s="78"/>
      <c r="Y39" s="78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6">
        <v>0.5590277777777778</v>
      </c>
      <c r="C40" s="67" t="str">
        <f t="shared" si="32"/>
        <v>Англия</v>
      </c>
      <c r="D40" s="67" t="str">
        <f t="shared" si="29"/>
        <v>Нидерланды</v>
      </c>
      <c r="E40" s="67" t="str">
        <f t="shared" si="33"/>
        <v>CMEX</v>
      </c>
      <c r="F40" s="67" t="str">
        <f t="shared" si="30"/>
        <v>masterp1ece</v>
      </c>
      <c r="G40" s="55">
        <f t="shared" si="8"/>
        <v>4</v>
      </c>
      <c r="H40" s="41"/>
      <c r="I40" s="55">
        <f t="shared" si="31"/>
        <v>4</v>
      </c>
      <c r="J40" s="41"/>
      <c r="K40" s="67">
        <v>4.0</v>
      </c>
      <c r="L40" s="67">
        <v>4.0</v>
      </c>
      <c r="M40" s="42"/>
      <c r="N40" s="69">
        <v>3.0</v>
      </c>
      <c r="O40" s="41"/>
      <c r="P40" s="41"/>
      <c r="Q40" s="41"/>
      <c r="R40" s="41"/>
      <c r="S40" s="45">
        <v>3.0</v>
      </c>
      <c r="T40" s="68">
        <v>162.0</v>
      </c>
      <c r="U40" s="69" t="str">
        <f t="shared" si="10"/>
        <v>13:25 Penalty shot cup (Англия) CMEX  - (Нидерланды) masterp1ece</v>
      </c>
      <c r="V40" s="41" t="str">
        <f t="shared" si="11"/>
        <v>4:4</v>
      </c>
      <c r="W40" s="78"/>
      <c r="X40" s="78"/>
      <c r="Y40" s="78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6">
        <v>0.5625</v>
      </c>
      <c r="C41" s="67" t="str">
        <f t="shared" si="32"/>
        <v>Англия</v>
      </c>
      <c r="D41" s="67" t="str">
        <f t="shared" ref="D41:D46" si="34">TRIM($D$6)</f>
        <v>Португалия</v>
      </c>
      <c r="E41" s="67" t="str">
        <f t="shared" si="33"/>
        <v>CMEX</v>
      </c>
      <c r="F41" s="67" t="str">
        <f t="shared" ref="F41:F46" si="35">$E$6</f>
        <v>flame</v>
      </c>
      <c r="G41" s="55">
        <f t="shared" si="8"/>
        <v>0</v>
      </c>
      <c r="H41" s="41"/>
      <c r="I41" s="55">
        <f t="shared" si="31"/>
        <v>0</v>
      </c>
      <c r="J41" s="41"/>
      <c r="K41" s="67" t="s">
        <v>42</v>
      </c>
      <c r="L41" s="67" t="s">
        <v>42</v>
      </c>
      <c r="M41" s="42">
        <v>4.0</v>
      </c>
      <c r="N41" s="69">
        <v>3.0</v>
      </c>
      <c r="O41" s="41"/>
      <c r="P41" s="41"/>
      <c r="Q41" s="41"/>
      <c r="R41" s="41"/>
      <c r="S41" s="45">
        <v>1.0</v>
      </c>
      <c r="T41" s="68">
        <v>163.0</v>
      </c>
      <c r="U41" s="69" t="str">
        <f t="shared" si="10"/>
        <v>13:30 Penalty shot cup (Англия) CMEX  - (Португалия) flame</v>
      </c>
      <c r="V41" s="41" t="str">
        <f t="shared" si="11"/>
        <v>0:0</v>
      </c>
      <c r="W41" s="78"/>
      <c r="X41" s="78"/>
      <c r="Y41" s="78"/>
      <c r="Z41" s="41"/>
      <c r="AA41" s="41"/>
      <c r="AB41" s="41"/>
      <c r="AC41" s="41"/>
      <c r="AD41" s="41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41"/>
      <c r="B42" s="66">
        <v>0.5659722222222222</v>
      </c>
      <c r="C42" s="67" t="str">
        <f t="shared" si="32"/>
        <v>Англия</v>
      </c>
      <c r="D42" s="67" t="str">
        <f t="shared" si="34"/>
        <v>Португалия</v>
      </c>
      <c r="E42" s="67" t="str">
        <f t="shared" si="33"/>
        <v>CMEX</v>
      </c>
      <c r="F42" s="67" t="str">
        <f t="shared" si="35"/>
        <v>flame</v>
      </c>
      <c r="G42" s="55">
        <f t="shared" si="8"/>
        <v>3</v>
      </c>
      <c r="H42" s="41"/>
      <c r="I42" s="55">
        <f t="shared" si="31"/>
        <v>3</v>
      </c>
      <c r="J42" s="41"/>
      <c r="K42" s="67">
        <v>3.0</v>
      </c>
      <c r="L42" s="67">
        <v>3.0</v>
      </c>
      <c r="M42" s="42"/>
      <c r="N42" s="69">
        <v>3.0</v>
      </c>
      <c r="O42" s="41"/>
      <c r="P42" s="41"/>
      <c r="Q42" s="41"/>
      <c r="R42" s="41"/>
      <c r="S42" s="45">
        <v>2.0</v>
      </c>
      <c r="T42" s="68">
        <v>164.0</v>
      </c>
      <c r="U42" s="69" t="str">
        <f t="shared" si="10"/>
        <v>13:35 Penalty shot cup (Англия) CMEX  - (Португалия) flame</v>
      </c>
      <c r="V42" s="41" t="str">
        <f t="shared" si="11"/>
        <v>3:3</v>
      </c>
      <c r="W42" s="78"/>
      <c r="X42" s="78"/>
      <c r="Y42" s="78"/>
      <c r="Z42" s="41"/>
      <c r="AA42" s="41"/>
      <c r="AB42" s="41"/>
      <c r="AC42" s="41"/>
      <c r="AD42" s="41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41"/>
      <c r="B43" s="66">
        <v>0.5694444444444444</v>
      </c>
      <c r="C43" s="67" t="str">
        <f t="shared" si="32"/>
        <v>Англия</v>
      </c>
      <c r="D43" s="67" t="str">
        <f t="shared" si="34"/>
        <v>Португалия</v>
      </c>
      <c r="E43" s="67" t="str">
        <f t="shared" si="33"/>
        <v>CMEX</v>
      </c>
      <c r="F43" s="67" t="str">
        <f t="shared" si="35"/>
        <v>flame</v>
      </c>
      <c r="G43" s="55">
        <f t="shared" si="8"/>
        <v>5</v>
      </c>
      <c r="H43" s="41"/>
      <c r="I43" s="55">
        <f t="shared" si="31"/>
        <v>3</v>
      </c>
      <c r="J43" s="41"/>
      <c r="K43" s="67">
        <v>5.0</v>
      </c>
      <c r="L43" s="67">
        <v>3.0</v>
      </c>
      <c r="M43" s="42">
        <v>3.0</v>
      </c>
      <c r="N43" s="69">
        <v>3.0</v>
      </c>
      <c r="O43" s="41"/>
      <c r="P43" s="41"/>
      <c r="Q43" s="41"/>
      <c r="R43" s="41"/>
      <c r="S43" s="45">
        <v>3.0</v>
      </c>
      <c r="T43" s="68">
        <v>165.0</v>
      </c>
      <c r="U43" s="69" t="str">
        <f t="shared" si="10"/>
        <v>13:40 Penalty shot cup (Англия) CMEX  - (Португалия) flame</v>
      </c>
      <c r="V43" s="41" t="str">
        <f t="shared" si="11"/>
        <v>5:3</v>
      </c>
      <c r="W43" s="78"/>
      <c r="X43" s="78"/>
      <c r="Y43" s="78"/>
      <c r="Z43" s="41"/>
      <c r="AA43" s="41"/>
      <c r="AB43" s="41"/>
      <c r="AC43" s="41"/>
      <c r="AD43" s="41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41"/>
      <c r="B44" s="66">
        <v>0.5729166666666666</v>
      </c>
      <c r="C44" s="67" t="str">
        <f t="shared" ref="C44:C46" si="36">TRIM($D$4)</f>
        <v>Нидерланды</v>
      </c>
      <c r="D44" s="67" t="str">
        <f t="shared" si="34"/>
        <v>Португалия</v>
      </c>
      <c r="E44" s="67" t="str">
        <f t="shared" ref="E44:E46" si="37">$E$4</f>
        <v>masterp1ece</v>
      </c>
      <c r="F44" s="67" t="str">
        <f t="shared" si="35"/>
        <v>flame</v>
      </c>
      <c r="G44" s="55">
        <f t="shared" si="8"/>
        <v>4</v>
      </c>
      <c r="H44" s="41"/>
      <c r="I44" s="55">
        <f t="shared" si="31"/>
        <v>5</v>
      </c>
      <c r="J44" s="41"/>
      <c r="K44" s="67">
        <v>4.0</v>
      </c>
      <c r="L44" s="67">
        <v>5.0</v>
      </c>
      <c r="M44" s="42"/>
      <c r="N44" s="69">
        <v>3.0</v>
      </c>
      <c r="O44" s="41"/>
      <c r="P44" s="41"/>
      <c r="Q44" s="41"/>
      <c r="R44" s="41"/>
      <c r="S44" s="45">
        <v>1.0</v>
      </c>
      <c r="T44" s="68">
        <v>166.0</v>
      </c>
      <c r="U44" s="69" t="str">
        <f t="shared" si="10"/>
        <v>13:45 Penalty shot cup (Нидерланды) masterp1ece  - (Португалия) flame</v>
      </c>
      <c r="V44" s="41" t="str">
        <f t="shared" si="11"/>
        <v>4:5</v>
      </c>
      <c r="W44" s="78"/>
      <c r="X44" s="78"/>
      <c r="Y44" s="78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6">
        <v>0.5763888888888888</v>
      </c>
      <c r="C45" s="67" t="str">
        <f t="shared" si="36"/>
        <v>Нидерланды</v>
      </c>
      <c r="D45" s="67" t="str">
        <f t="shared" si="34"/>
        <v>Португалия</v>
      </c>
      <c r="E45" s="67" t="str">
        <f t="shared" si="37"/>
        <v>masterp1ece</v>
      </c>
      <c r="F45" s="67" t="str">
        <f t="shared" si="35"/>
        <v>flame</v>
      </c>
      <c r="G45" s="55">
        <f t="shared" si="8"/>
        <v>4</v>
      </c>
      <c r="H45" s="41"/>
      <c r="I45" s="55">
        <f t="shared" si="31"/>
        <v>3</v>
      </c>
      <c r="J45" s="41"/>
      <c r="K45" s="67">
        <v>4.0</v>
      </c>
      <c r="L45" s="67">
        <v>3.0</v>
      </c>
      <c r="M45" s="42"/>
      <c r="N45" s="69">
        <v>3.0</v>
      </c>
      <c r="O45" s="41"/>
      <c r="P45" s="41"/>
      <c r="Q45" s="41"/>
      <c r="R45" s="41"/>
      <c r="S45" s="45">
        <v>2.0</v>
      </c>
      <c r="T45" s="68">
        <v>167.0</v>
      </c>
      <c r="U45" s="69" t="str">
        <f t="shared" si="10"/>
        <v>13:50 Penalty shot cup (Нидерланды) masterp1ece  - (Португалия) flame</v>
      </c>
      <c r="V45" s="41" t="str">
        <f t="shared" si="11"/>
        <v>4:3</v>
      </c>
      <c r="W45" s="78"/>
      <c r="X45" s="78"/>
      <c r="Y45" s="78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6">
        <v>0.5798611111111112</v>
      </c>
      <c r="C46" s="67" t="str">
        <f t="shared" si="36"/>
        <v>Нидерланды</v>
      </c>
      <c r="D46" s="67" t="str">
        <f t="shared" si="34"/>
        <v>Португалия</v>
      </c>
      <c r="E46" s="67" t="str">
        <f t="shared" si="37"/>
        <v>masterp1ece</v>
      </c>
      <c r="F46" s="67" t="str">
        <f t="shared" si="35"/>
        <v>flame</v>
      </c>
      <c r="G46" s="55">
        <f t="shared" si="8"/>
        <v>5</v>
      </c>
      <c r="H46" s="41"/>
      <c r="I46" s="55">
        <f t="shared" si="31"/>
        <v>3</v>
      </c>
      <c r="J46" s="41"/>
      <c r="K46" s="67">
        <v>5.0</v>
      </c>
      <c r="L46" s="67">
        <v>3.0</v>
      </c>
      <c r="M46" s="42"/>
      <c r="N46" s="69">
        <v>3.0</v>
      </c>
      <c r="O46" s="41"/>
      <c r="P46" s="41"/>
      <c r="Q46" s="41"/>
      <c r="R46" s="41"/>
      <c r="S46" s="45">
        <v>3.0</v>
      </c>
      <c r="T46" s="68">
        <v>168.0</v>
      </c>
      <c r="U46" s="69" t="str">
        <f t="shared" si="10"/>
        <v>13:55 Penalty shot cup (Нидерланды) masterp1ece  - (Португалия) flame</v>
      </c>
      <c r="V46" s="41" t="str">
        <f t="shared" si="11"/>
        <v>5:3</v>
      </c>
      <c r="W46" s="78"/>
      <c r="X46" s="78"/>
      <c r="Y46" s="78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45719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45719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7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7">
        <f t="array" ref="AJ3">SUM(('ТУР3'!home=AF3)*('ТУР3'!homescore&lt;'ТУР3'!visitorscore),('ТУР3'!visitor=AF3)*('ТУР3'!visitorscore&lt;'ТУР3'!homescore))</f>
        <v>5</v>
      </c>
      <c r="AK3" s="31">
        <f t="array" ref="AK3">SUMIF('ТУР3'!home,AF3,'ТУР3'!homescore)+SUMIF('ТУР3'!visitor,AF3,'ТУР3'!visitorscore)</f>
        <v>79</v>
      </c>
      <c r="AL3" s="32">
        <f t="array" ref="AL3">SUMIF('ТУР3'!home,AF3,'ТУР3'!visitorscore)+SUMIF('ТУР3'!visitor,AF3,'ТУР3'!homescore)</f>
        <v>74</v>
      </c>
      <c r="AM3" s="7">
        <f t="shared" ref="AM3:AM5" si="2">AK3-AL3</f>
        <v>5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3300050079</v>
      </c>
    </row>
    <row r="4">
      <c r="A4" s="11"/>
      <c r="B4" s="8"/>
      <c r="C4" s="33" t="s">
        <v>50</v>
      </c>
      <c r="D4" s="91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12</v>
      </c>
      <c r="Y4" s="26">
        <f t="array" ref="Y4">VLOOKUP($U4,$AF$3:$AN$5,5,0)</f>
        <v>3</v>
      </c>
      <c r="Z4" s="26">
        <f t="array" ref="Z4">VLOOKUP($U4,$AF$3:$AN$5,6,0)</f>
        <v>82</v>
      </c>
      <c r="AA4" s="26">
        <f t="array" ref="AA4">VLOOKUP($U4,$AF$3:$AN$5,7,0)</f>
        <v>72</v>
      </c>
      <c r="AB4" s="26">
        <f t="array" ref="AB4">VLOOKUP($U4,$AF$3:$AN$5,8,0)</f>
        <v>10</v>
      </c>
      <c r="AC4" s="26">
        <f t="array" ref="AC4">VLOOKUP($U4,$AF$3:$AN$5,9,0)</f>
        <v>39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9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12</v>
      </c>
      <c r="AJ4" s="7">
        <f t="array" ref="AJ4">SUM(('ТУР3'!home=AF4)*('ТУР3'!homescore&lt;'ТУР3'!visitorscore),('ТУР3'!visitor=AF4)*('ТУР3'!visitorscore&lt;'ТУР3'!homescore))</f>
        <v>3</v>
      </c>
      <c r="AK4" s="31">
        <f t="array" ref="AK4">SUMIF('ТУР3'!home,AF4,'ТУР3'!homescore)+SUMIF('ТУР3'!visitor,AF4,'ТУР3'!visitorscore)</f>
        <v>82</v>
      </c>
      <c r="AL4" s="32">
        <f t="array" ref="AL4">SUMIF('ТУР3'!home,AF4,'ТУР3'!visitorscore)+SUMIF('ТУР3'!visitor,AF4,'ТУР3'!homescore)</f>
        <v>72</v>
      </c>
      <c r="AM4" s="7">
        <f t="shared" si="2"/>
        <v>10</v>
      </c>
      <c r="AN4" s="31">
        <f t="array" ref="AN4">AH4*Options!$B$2+AI4*Options!$B$3+AJ4*Options!$B$4+VLOOKUP(AF4,$E$4:$F$9,2,0)</f>
        <v>39</v>
      </c>
      <c r="AO4" s="11">
        <f t="shared" si="3"/>
        <v>3900100082</v>
      </c>
    </row>
    <row r="5">
      <c r="A5" s="11"/>
      <c r="B5" s="8"/>
      <c r="C5" s="40" t="s">
        <v>53</v>
      </c>
      <c r="D5" s="91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12</v>
      </c>
      <c r="Y5" s="26">
        <f t="array" ref="Y5">VLOOKUP($U5,$AF$3:$AN$5,5,0)</f>
        <v>5</v>
      </c>
      <c r="Z5" s="26">
        <f t="array" ref="Z5">VLOOKUP($U5,$AF$3:$AN$5,6,0)</f>
        <v>79</v>
      </c>
      <c r="AA5" s="26">
        <f t="array" ref="AA5">VLOOKUP($U5,$AF$3:$AN$5,7,0)</f>
        <v>74</v>
      </c>
      <c r="AB5" s="26">
        <f t="array" ref="AB5">VLOOKUP($U5,$AF$3:$AN$5,8,0)</f>
        <v>5</v>
      </c>
      <c r="AC5" s="26">
        <f t="array" ref="AC5">VLOOKUP($U5,$AF$3:$AN$5,9,0)</f>
        <v>33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3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7">
        <f t="array" ref="AJ5">SUM(('ТУР3'!home=AF5)*('ТУР3'!homescore&lt;'ТУР3'!visitorscore),('ТУР3'!visitor=AF5)*('ТУР3'!visitorscore&lt;'ТУР3'!homescore))</f>
        <v>11</v>
      </c>
      <c r="AK5" s="31">
        <f t="array" ref="AK5">SUMIF('ТУР3'!home,AF5,'ТУР3'!homescore)+SUMIF('ТУР3'!visitor,AF5,'ТУР3'!visitorscore)</f>
        <v>69</v>
      </c>
      <c r="AL5" s="32">
        <f t="array" ref="AL5">SUMIF('ТУР3'!home,AF5,'ТУР3'!visitorscore)+SUMIF('ТУР3'!visitor,AF5,'ТУР3'!homescore)</f>
        <v>84</v>
      </c>
      <c r="AM5" s="7">
        <f t="shared" si="2"/>
        <v>-15</v>
      </c>
      <c r="AN5" s="31">
        <f t="array" ref="AN5">AH5*Options!$B$2+AI5*Options!$B$3+AJ5*Options!$B$4+VLOOKUP(AF5,$E$4:$F$9,2,0)</f>
        <v>19</v>
      </c>
      <c r="AO5" s="11">
        <f t="shared" si="3"/>
        <v>1899850069</v>
      </c>
    </row>
    <row r="6">
      <c r="A6" s="11"/>
      <c r="B6" s="8"/>
      <c r="C6" s="33" t="s">
        <v>55</v>
      </c>
      <c r="D6" s="91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10</v>
      </c>
      <c r="Y6" s="26">
        <f t="array" ref="Y6">VLOOKUP($U6,$AF$3:$AN$5,5,0)</f>
        <v>11</v>
      </c>
      <c r="Z6" s="26">
        <f t="array" ref="Z6">VLOOKUP($U6,$AF$3:$AN$5,6,0)</f>
        <v>69</v>
      </c>
      <c r="AA6" s="26">
        <f t="array" ref="AA6">VLOOKUP($U6,$AF$3:$AN$5,7,0)</f>
        <v>84</v>
      </c>
      <c r="AB6" s="26">
        <f t="array" ref="AB6">VLOOKUP($U6,$AF$3:$AN$5,8,0)</f>
        <v>-15</v>
      </c>
      <c r="AC6" s="26">
        <f t="array" ref="AC6">VLOOKUP($U6,$AF$3:$AN$5,9,0)</f>
        <v>19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debosch</v>
      </c>
      <c r="F11" s="103" t="str">
        <f t="shared" ref="F11:F16" si="7">$E$5</f>
        <v>azalazy</v>
      </c>
      <c r="G11" s="95">
        <f t="shared" ref="G11:G42" si="8">SUM(K11)</f>
        <v>4</v>
      </c>
      <c r="H11" s="97"/>
      <c r="I11" s="95">
        <f t="shared" ref="I11:I17" si="9">SUM(L11)</f>
        <v>5</v>
      </c>
      <c r="J11" s="97"/>
      <c r="K11" s="103">
        <v>4.0</v>
      </c>
      <c r="L11" s="103">
        <v>5.0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debosch  - (Нидерланды) azalazy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debosch</v>
      </c>
      <c r="F12" s="103" t="str">
        <f t="shared" si="7"/>
        <v>azalazy</v>
      </c>
      <c r="G12" s="95">
        <f t="shared" si="8"/>
        <v>4</v>
      </c>
      <c r="H12" s="97"/>
      <c r="I12" s="95">
        <f t="shared" si="9"/>
        <v>5</v>
      </c>
      <c r="J12" s="97"/>
      <c r="K12" s="103">
        <v>4.0</v>
      </c>
      <c r="L12" s="103">
        <v>5.0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debosch  - (Нидерланды) azalazy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debosch</v>
      </c>
      <c r="F13" s="103" t="str">
        <f t="shared" si="7"/>
        <v>azalazy</v>
      </c>
      <c r="G13" s="95">
        <f t="shared" si="8"/>
        <v>0</v>
      </c>
      <c r="H13" s="97"/>
      <c r="I13" s="95">
        <f t="shared" si="9"/>
        <v>0</v>
      </c>
      <c r="J13" s="97"/>
      <c r="K13" s="103" t="s">
        <v>42</v>
      </c>
      <c r="L13" s="103" t="s">
        <v>42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debosch  - (Нидерланды) azalazy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⁠nxkitorio</v>
      </c>
      <c r="F14" s="103" t="str">
        <f t="shared" si="7"/>
        <v>azalazy</v>
      </c>
      <c r="G14" s="95">
        <f t="shared" si="8"/>
        <v>0</v>
      </c>
      <c r="H14" s="97"/>
      <c r="I14" s="95">
        <f t="shared" si="9"/>
        <v>3</v>
      </c>
      <c r="J14" s="97"/>
      <c r="K14" s="103">
        <v>0.0</v>
      </c>
      <c r="L14" s="103">
        <v>3.0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⁠nxkitorio  - (Нидерланды) azalazy</v>
      </c>
      <c r="V14" s="11" t="str">
        <f t="shared" si="11"/>
        <v>0:3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⁠nxkitorio</v>
      </c>
      <c r="F15" s="103" t="str">
        <f t="shared" si="7"/>
        <v>azalazy</v>
      </c>
      <c r="G15" s="95">
        <f t="shared" si="8"/>
        <v>2</v>
      </c>
      <c r="H15" s="97"/>
      <c r="I15" s="95">
        <f t="shared" si="9"/>
        <v>4</v>
      </c>
      <c r="J15" s="97"/>
      <c r="K15" s="103">
        <v>2.0</v>
      </c>
      <c r="L15" s="103">
        <v>4.0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⁠nxkitorio  - (Нидерланды) azalazy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⁠nxkitorio</v>
      </c>
      <c r="F16" s="103" t="str">
        <f t="shared" si="7"/>
        <v>azalazy</v>
      </c>
      <c r="G16" s="95">
        <f t="shared" si="8"/>
        <v>2</v>
      </c>
      <c r="H16" s="97"/>
      <c r="I16" s="95">
        <f t="shared" si="9"/>
        <v>3</v>
      </c>
      <c r="J16" s="97"/>
      <c r="K16" s="103">
        <v>2.0</v>
      </c>
      <c r="L16" s="103">
        <v>3.0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⁠nxkitorio  - (Нидерланды) azalazy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⁠nxkitorio</v>
      </c>
      <c r="F17" s="103" t="str">
        <f t="shared" ref="F17:F22" si="15">$E$4</f>
        <v>debosch</v>
      </c>
      <c r="G17" s="95">
        <f t="shared" si="8"/>
        <v>2</v>
      </c>
      <c r="H17" s="97"/>
      <c r="I17" s="95">
        <f t="shared" si="9"/>
        <v>4</v>
      </c>
      <c r="J17" s="97"/>
      <c r="K17" s="26">
        <v>2.0</v>
      </c>
      <c r="L17" s="26">
        <v>4.0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⁠nxkitorio  - (Испания) debosch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⁠nxkitorio</v>
      </c>
      <c r="F18" s="103" t="str">
        <f t="shared" si="15"/>
        <v>debosch</v>
      </c>
      <c r="G18" s="95">
        <f t="shared" si="8"/>
        <v>4</v>
      </c>
      <c r="H18" s="97"/>
      <c r="I18" s="95">
        <f t="shared" ref="I18:I22" si="16">SUM(L18,O18)</f>
        <v>4</v>
      </c>
      <c r="J18" s="97"/>
      <c r="K18" s="103">
        <v>4.0</v>
      </c>
      <c r="L18" s="103">
        <v>4.0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⁠nxkitorio  - (Испания) debosch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⁠nxkitorio</v>
      </c>
      <c r="F19" s="103" t="str">
        <f t="shared" si="15"/>
        <v>debosch</v>
      </c>
      <c r="G19" s="95">
        <f t="shared" si="8"/>
        <v>4</v>
      </c>
      <c r="H19" s="97"/>
      <c r="I19" s="95">
        <f t="shared" si="16"/>
        <v>4</v>
      </c>
      <c r="J19" s="97"/>
      <c r="K19" s="103">
        <v>4.0</v>
      </c>
      <c r="L19" s="103">
        <v>4.0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⁠nxkitorio  - (Испания) debosch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azalazy</v>
      </c>
      <c r="F20" s="103" t="str">
        <f t="shared" si="15"/>
        <v>debosch</v>
      </c>
      <c r="G20" s="95">
        <f t="shared" si="8"/>
        <v>4</v>
      </c>
      <c r="H20" s="97"/>
      <c r="I20" s="95">
        <f t="shared" si="16"/>
        <v>4</v>
      </c>
      <c r="J20" s="97"/>
      <c r="K20" s="103">
        <v>4.0</v>
      </c>
      <c r="L20" s="103">
        <v>4.0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azalazy  - (Испания) debosch</v>
      </c>
      <c r="V20" s="11" t="str">
        <f t="shared" si="11"/>
        <v>4:4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azalazy</v>
      </c>
      <c r="F21" s="103" t="str">
        <f t="shared" si="15"/>
        <v>debosch</v>
      </c>
      <c r="G21" s="95">
        <f t="shared" si="8"/>
        <v>3</v>
      </c>
      <c r="H21" s="97"/>
      <c r="I21" s="95">
        <f t="shared" si="16"/>
        <v>3</v>
      </c>
      <c r="J21" s="97"/>
      <c r="K21" s="103">
        <v>3.0</v>
      </c>
      <c r="L21" s="103">
        <v>3.0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azalazy  - (Испания) debosch</v>
      </c>
      <c r="V21" s="11" t="str">
        <f t="shared" si="11"/>
        <v>3:3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azalazy</v>
      </c>
      <c r="F22" s="103" t="str">
        <f t="shared" si="15"/>
        <v>debosch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azalazy  - (Испания) debosch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azalazy</v>
      </c>
      <c r="F23" s="103" t="str">
        <f t="shared" ref="F23:F28" si="20">$E$6</f>
        <v>⁠nxkitorio</v>
      </c>
      <c r="G23" s="95">
        <f t="shared" si="8"/>
        <v>3</v>
      </c>
      <c r="H23" s="97"/>
      <c r="I23" s="95">
        <f t="shared" ref="I23:I29" si="21">SUM(L23)</f>
        <v>4</v>
      </c>
      <c r="J23" s="97"/>
      <c r="K23" s="103">
        <v>3.0</v>
      </c>
      <c r="L23" s="103">
        <v>4.0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azalazy  - (Германия) ⁠nxkitorio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azalazy</v>
      </c>
      <c r="F24" s="103" t="str">
        <f t="shared" si="20"/>
        <v>⁠nxkitorio</v>
      </c>
      <c r="G24" s="95">
        <f t="shared" si="8"/>
        <v>3</v>
      </c>
      <c r="H24" s="97"/>
      <c r="I24" s="95">
        <f t="shared" si="21"/>
        <v>3</v>
      </c>
      <c r="J24" s="97"/>
      <c r="K24" s="103">
        <v>3.0</v>
      </c>
      <c r="L24" s="103">
        <v>3.0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azalazy  - (Германия) ⁠nxkitorio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azalazy</v>
      </c>
      <c r="F25" s="103" t="str">
        <f t="shared" si="20"/>
        <v>⁠nxkitorio</v>
      </c>
      <c r="G25" s="95">
        <f t="shared" si="8"/>
        <v>4</v>
      </c>
      <c r="H25" s="97"/>
      <c r="I25" s="95">
        <f t="shared" si="21"/>
        <v>2</v>
      </c>
      <c r="J25" s="97"/>
      <c r="K25" s="110">
        <v>4.0</v>
      </c>
      <c r="L25" s="110">
        <v>2.0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azalazy  - (Германия) ⁠nxkitorio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debosch</v>
      </c>
      <c r="F26" s="103" t="str">
        <f t="shared" si="20"/>
        <v>⁠nxkitorio</v>
      </c>
      <c r="G26" s="95">
        <f t="shared" si="8"/>
        <v>4</v>
      </c>
      <c r="H26" s="97"/>
      <c r="I26" s="95">
        <f t="shared" si="21"/>
        <v>1</v>
      </c>
      <c r="J26" s="97"/>
      <c r="K26" s="110">
        <v>4.0</v>
      </c>
      <c r="L26" s="110">
        <v>1.0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debosch  - (Германия) ⁠nxkitorio</v>
      </c>
      <c r="V26" s="11" t="str">
        <f t="shared" si="11"/>
        <v>4:1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debosch</v>
      </c>
      <c r="F27" s="103" t="str">
        <f t="shared" si="20"/>
        <v>⁠nxkitorio</v>
      </c>
      <c r="G27" s="95">
        <f t="shared" si="8"/>
        <v>4</v>
      </c>
      <c r="H27" s="97"/>
      <c r="I27" s="95">
        <f t="shared" si="21"/>
        <v>2</v>
      </c>
      <c r="J27" s="97"/>
      <c r="K27" s="110">
        <v>4.0</v>
      </c>
      <c r="L27" s="110">
        <v>2.0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debosch  - (Германия) ⁠nxkitorio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debosch</v>
      </c>
      <c r="F28" s="103" t="str">
        <f t="shared" si="20"/>
        <v>⁠nxkitorio</v>
      </c>
      <c r="G28" s="95">
        <f t="shared" si="8"/>
        <v>2</v>
      </c>
      <c r="H28" s="97"/>
      <c r="I28" s="95">
        <f t="shared" si="21"/>
        <v>4</v>
      </c>
      <c r="J28" s="103"/>
      <c r="K28" s="110">
        <v>2.0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debosch  - (Германия) ⁠nxkitorio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debosch</v>
      </c>
      <c r="F29" s="103" t="str">
        <f t="shared" ref="F29:F34" si="25">$E$5</f>
        <v>azalazy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debosch  - (Нидерланды) azalazy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debosch</v>
      </c>
      <c r="F30" s="103" t="str">
        <f t="shared" si="25"/>
        <v>azalazy</v>
      </c>
      <c r="G30" s="95">
        <f t="shared" si="8"/>
        <v>2</v>
      </c>
      <c r="H30" s="97"/>
      <c r="I30" s="95">
        <f t="shared" ref="I30:I34" si="26">SUM(L30,O30)</f>
        <v>4</v>
      </c>
      <c r="J30" s="97"/>
      <c r="K30" s="103">
        <v>2.0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debosch  - (Нидерланды) azalazy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debosch</v>
      </c>
      <c r="F31" s="103" t="str">
        <f t="shared" si="25"/>
        <v>azalazy</v>
      </c>
      <c r="G31" s="95">
        <f t="shared" si="8"/>
        <v>4</v>
      </c>
      <c r="H31" s="97"/>
      <c r="I31" s="95">
        <f t="shared" si="26"/>
        <v>2</v>
      </c>
      <c r="J31" s="97"/>
      <c r="K31" s="103">
        <v>4.0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debosch  - (Нидерланды) azalazy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⁠nxkitorio</v>
      </c>
      <c r="F32" s="103" t="str">
        <f t="shared" si="25"/>
        <v>azalazy</v>
      </c>
      <c r="G32" s="95">
        <f t="shared" si="8"/>
        <v>3</v>
      </c>
      <c r="H32" s="97"/>
      <c r="I32" s="95">
        <f t="shared" si="26"/>
        <v>3</v>
      </c>
      <c r="J32" s="97"/>
      <c r="K32" s="103">
        <v>3.0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⁠nxkitorio  - (Нидерланды) azalazy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⁠nxkitorio</v>
      </c>
      <c r="F33" s="103" t="str">
        <f t="shared" si="25"/>
        <v>azalazy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⁠nxkitorio  - (Нидерланды) azalazy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⁠nxkitorio</v>
      </c>
      <c r="F34" s="103" t="str">
        <f t="shared" si="25"/>
        <v>azalazy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⁠nxkitorio  - (Нидерланды) azalazy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⁠nxkitorio</v>
      </c>
      <c r="F35" s="103" t="str">
        <f t="shared" ref="F35:F40" si="30">$E$4</f>
        <v>debosch</v>
      </c>
      <c r="G35" s="95">
        <f t="shared" si="8"/>
        <v>2</v>
      </c>
      <c r="H35" s="97"/>
      <c r="I35" s="95">
        <f t="shared" ref="I35:I46" si="31">SUM(L35)</f>
        <v>3</v>
      </c>
      <c r="J35" s="97"/>
      <c r="K35" s="103">
        <v>2.0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⁠nxkitorio  - (Испания) debosch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⁠nxkitorio</v>
      </c>
      <c r="F36" s="103" t="str">
        <f t="shared" si="30"/>
        <v>debosch</v>
      </c>
      <c r="G36" s="95">
        <f t="shared" si="8"/>
        <v>5</v>
      </c>
      <c r="H36" s="97"/>
      <c r="I36" s="95">
        <f t="shared" si="31"/>
        <v>5</v>
      </c>
      <c r="J36" s="97"/>
      <c r="K36" s="103">
        <v>5.0</v>
      </c>
      <c r="L36" s="103">
        <v>5.0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⁠nxkitorio  - (Испания) debosch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⁠nxkitorio</v>
      </c>
      <c r="F37" s="103" t="str">
        <f t="shared" si="30"/>
        <v>debosch</v>
      </c>
      <c r="G37" s="95">
        <f t="shared" si="8"/>
        <v>4</v>
      </c>
      <c r="H37" s="97"/>
      <c r="I37" s="95">
        <f t="shared" si="31"/>
        <v>5</v>
      </c>
      <c r="J37" s="97"/>
      <c r="K37" s="103">
        <v>4.0</v>
      </c>
      <c r="L37" s="103">
        <v>5.0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⁠nxkitorio  - (Испания) debosch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azalazy</v>
      </c>
      <c r="F38" s="103" t="str">
        <f t="shared" si="30"/>
        <v>debosch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azalazy  - (Испания) debosch</v>
      </c>
      <c r="V38" s="11" t="str">
        <f t="shared" si="11"/>
        <v>4:4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azalazy</v>
      </c>
      <c r="F39" s="103" t="str">
        <f t="shared" si="30"/>
        <v>debosch</v>
      </c>
      <c r="G39" s="95">
        <f t="shared" si="8"/>
        <v>0</v>
      </c>
      <c r="H39" s="11"/>
      <c r="I39" s="95">
        <f t="shared" si="31"/>
        <v>0</v>
      </c>
      <c r="J39" s="11"/>
      <c r="K39" s="103" t="s">
        <v>42</v>
      </c>
      <c r="L39" s="103" t="s">
        <v>42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azalazy  - (Испания) debosch</v>
      </c>
      <c r="V39" s="11" t="str">
        <f t="shared" si="11"/>
        <v>0:0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azalazy</v>
      </c>
      <c r="F40" s="103" t="str">
        <f t="shared" si="30"/>
        <v>debosch</v>
      </c>
      <c r="G40" s="95">
        <f t="shared" si="8"/>
        <v>5</v>
      </c>
      <c r="H40" s="11"/>
      <c r="I40" s="95">
        <f t="shared" si="31"/>
        <v>4</v>
      </c>
      <c r="J40" s="11"/>
      <c r="K40" s="103">
        <v>5.0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azalazy  - (Испания) debosch</v>
      </c>
      <c r="V40" s="11" t="str">
        <f t="shared" si="11"/>
        <v>5:4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azalazy</v>
      </c>
      <c r="F41" s="103" t="str">
        <f t="shared" ref="F41:F46" si="35">$E$6</f>
        <v>⁠nxkitorio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azalazy  - (Германия) ⁠nxkitorio</v>
      </c>
      <c r="V41" s="11" t="str">
        <f t="shared" si="11"/>
        <v>4:4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azalazy</v>
      </c>
      <c r="F42" s="103" t="str">
        <f t="shared" si="35"/>
        <v>⁠nxkitorio</v>
      </c>
      <c r="G42" s="95">
        <f t="shared" si="8"/>
        <v>3</v>
      </c>
      <c r="H42" s="11"/>
      <c r="I42" s="95">
        <f t="shared" si="31"/>
        <v>4</v>
      </c>
      <c r="J42" s="103"/>
      <c r="K42" s="103">
        <v>3.0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azalazy  - (Германия) ⁠nxkitorio</v>
      </c>
      <c r="V42" s="11" t="str">
        <f t="shared" si="11"/>
        <v>3:4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azalazy</v>
      </c>
      <c r="F43" s="103" t="str">
        <f t="shared" si="35"/>
        <v>⁠nxkitorio</v>
      </c>
      <c r="G43" s="95">
        <v>4.0</v>
      </c>
      <c r="H43" s="11"/>
      <c r="I43" s="95">
        <f t="shared" si="31"/>
        <v>4</v>
      </c>
      <c r="J43" s="11"/>
      <c r="K43" s="112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azalazy  - (Германия) ⁠nxkitorio</v>
      </c>
      <c r="V43" s="11" t="str">
        <f t="shared" si="11"/>
        <v>4:4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debosch</v>
      </c>
      <c r="F44" s="103" t="str">
        <f t="shared" si="35"/>
        <v>⁠nxkitorio</v>
      </c>
      <c r="G44" s="95">
        <f t="shared" ref="G44:G46" si="38">SUM(K44)</f>
        <v>3</v>
      </c>
      <c r="H44" s="11"/>
      <c r="I44" s="95">
        <f t="shared" si="31"/>
        <v>3</v>
      </c>
      <c r="J44" s="11"/>
      <c r="K44" s="103">
        <v>3.0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debosch  - (Германия) ⁠nxkitorio</v>
      </c>
      <c r="V44" s="11" t="str">
        <f t="shared" si="11"/>
        <v>3:3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debosch</v>
      </c>
      <c r="F45" s="103" t="str">
        <f t="shared" si="35"/>
        <v>⁠nxkitorio</v>
      </c>
      <c r="G45" s="95">
        <f t="shared" si="38"/>
        <v>0</v>
      </c>
      <c r="H45" s="11"/>
      <c r="I45" s="95">
        <f t="shared" si="31"/>
        <v>0</v>
      </c>
      <c r="J45" s="11"/>
      <c r="K45" s="103" t="s">
        <v>42</v>
      </c>
      <c r="L45" s="103" t="s">
        <v>42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debosch  - (Германия) ⁠nxkitorio</v>
      </c>
      <c r="V45" s="11" t="str">
        <f t="shared" si="11"/>
        <v>0:0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debosch</v>
      </c>
      <c r="F46" s="103" t="str">
        <f t="shared" si="35"/>
        <v>⁠nxkitorio</v>
      </c>
      <c r="G46" s="95">
        <f t="shared" si="38"/>
        <v>4</v>
      </c>
      <c r="H46" s="11"/>
      <c r="I46" s="95">
        <f t="shared" si="31"/>
        <v>3</v>
      </c>
      <c r="J46" s="11"/>
      <c r="K46" s="103">
        <v>4.0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debosch  - (Германия) ⁠nxkitorio</v>
      </c>
      <c r="V46" s="11" t="str">
        <f t="shared" si="11"/>
        <v>4:3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45719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45719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12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7">
        <f t="array" ref="AJ3">SUM(('ТУР4'!home=AF3)*('ТУР4'!homescore&lt;'ТУР4'!visitorscore),('ТУР4'!visitor=AF3)*('ТУР4'!visitorscore&lt;'ТУР4'!homescore))</f>
        <v>4</v>
      </c>
      <c r="AK3" s="31">
        <f t="array" ref="AK3">SUMIF('ТУР4'!home,AF3,'ТУР4'!homescore)+SUMIF('ТУР4'!visitor,AF3,'ТУР4'!visitorscore)</f>
        <v>89</v>
      </c>
      <c r="AL3" s="32">
        <f t="array" ref="AL3">SUMIF('ТУР4'!home,AF3,'ТУР4'!visitorscore)+SUMIF('ТУР4'!visitor,AF3,'ТУР4'!homescore)</f>
        <v>76</v>
      </c>
      <c r="AM3" s="7">
        <f t="shared" ref="AM3:AM5" si="2">AK3-AL3</f>
        <v>13</v>
      </c>
      <c r="AN3" s="31">
        <f t="array" ref="AN3">AH3*Options!$B$2+AI3*Options!$B$3+AJ3*Options!$B$4+VLOOKUP(AF3,$E$4:$F$9,2,0)</f>
        <v>44</v>
      </c>
      <c r="AO3" s="11">
        <f t="shared" ref="AO3:AO5" si="3">AK3+AM3*10000+AN3*100000000</f>
        <v>4400130089</v>
      </c>
    </row>
    <row r="4">
      <c r="A4" s="11"/>
      <c r="B4" s="8"/>
      <c r="C4" s="85" t="str">
        <f>'ТУР3'!$C$4</f>
        <v>Тимофей Б.</v>
      </c>
      <c r="D4" s="91" t="s">
        <v>25</v>
      </c>
      <c r="E4" s="85" t="str">
        <f>'ТУР3'!$E$4</f>
        <v>debosch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8</v>
      </c>
      <c r="Y4" s="26">
        <f t="array" ref="Y4">VLOOKUP($U4,$AF$3:$AN$5,5,0)</f>
        <v>4</v>
      </c>
      <c r="Z4" s="26">
        <f t="array" ref="Z4">VLOOKUP($U4,$AF$3:$AN$5,6,0)</f>
        <v>89</v>
      </c>
      <c r="AA4" s="26">
        <f t="array" ref="AA4">VLOOKUP($U4,$AF$3:$AN$5,7,0)</f>
        <v>76</v>
      </c>
      <c r="AB4" s="26">
        <f t="array" ref="AB4">VLOOKUP($U4,$AF$3:$AN$5,8,0)</f>
        <v>13</v>
      </c>
      <c r="AC4" s="26">
        <f t="array" ref="AC4">VLOOKUP($U4,$AF$3:$AN$5,9,0)</f>
        <v>44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4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7">
        <f t="array" ref="AJ4">SUM(('ТУР4'!home=AF4)*('ТУР4'!homescore&lt;'ТУР4'!visitorscore),('ТУР4'!visitor=AF4)*('ТУР4'!visitorscore&lt;'ТУР4'!homescore))</f>
        <v>12</v>
      </c>
      <c r="AK4" s="31">
        <f t="array" ref="AK4">SUMIF('ТУР4'!home,AF4,'ТУР4'!homescore)+SUMIF('ТУР4'!visitor,AF4,'ТУР4'!visitorscore)</f>
        <v>70</v>
      </c>
      <c r="AL4" s="32">
        <f t="array" ref="AL4">SUMIF('ТУР4'!home,AF4,'ТУР4'!visitorscore)+SUMIF('ТУР4'!visitor,AF4,'ТУР4'!homescore)</f>
        <v>82</v>
      </c>
      <c r="AM4" s="7">
        <f t="shared" si="2"/>
        <v>-12</v>
      </c>
      <c r="AN4" s="31">
        <f t="array" ref="AN4">AH4*Options!$B$2+AI4*Options!$B$3+AJ4*Options!$B$4+VLOOKUP(AF4,$E$4:$F$9,2,0)</f>
        <v>20</v>
      </c>
      <c r="AO4" s="11">
        <f t="shared" si="3"/>
        <v>1999880070</v>
      </c>
    </row>
    <row r="5">
      <c r="A5" s="11"/>
      <c r="B5" s="8"/>
      <c r="C5" s="86" t="str">
        <f>'ТУР3'!$C$5</f>
        <v>Азамат Г.</v>
      </c>
      <c r="D5" s="91" t="s">
        <v>48</v>
      </c>
      <c r="E5" s="85" t="str">
        <f>'ТУР3'!$E$5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76</v>
      </c>
      <c r="AA5" s="26">
        <f t="array" ref="AA5">VLOOKUP($U5,$AF$3:$AN$5,7,0)</f>
        <v>77</v>
      </c>
      <c r="AB5" s="26">
        <f t="array" ref="AB5">VLOOKUP($U5,$AF$3:$AN$5,8,0)</f>
        <v>-1</v>
      </c>
      <c r="AC5" s="26">
        <f t="array" ref="AC5">VLOOKUP($U5,$AF$3:$AN$5,9,0)</f>
        <v>33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7">
        <f t="array" ref="AJ5">SUM(('ТУР4'!home=AF5)*('ТУР4'!homescore&lt;'ТУР4'!visitorscore),('ТУР4'!visitor=AF5)*('ТУР4'!visitorscore&lt;'ТУР4'!homescore))</f>
        <v>9</v>
      </c>
      <c r="AK5" s="31">
        <f t="array" ref="AK5">SUMIF('ТУР4'!home,AF5,'ТУР4'!homescore)+SUMIF('ТУР4'!visitor,AF5,'ТУР4'!visitorscore)</f>
        <v>76</v>
      </c>
      <c r="AL5" s="32">
        <f t="array" ref="AL5">SUMIF('ТУР4'!home,AF5,'ТУР4'!visitorscore)+SUMIF('ТУР4'!visitor,AF5,'ТУР4'!homescore)</f>
        <v>77</v>
      </c>
      <c r="AM5" s="7">
        <f t="shared" si="2"/>
        <v>-1</v>
      </c>
      <c r="AN5" s="31">
        <f t="array" ref="AN5">AH5*Options!$B$2+AI5*Options!$B$3+AJ5*Options!$B$4+VLOOKUP(AF5,$E$4:$F$9,2,0)</f>
        <v>33</v>
      </c>
      <c r="AO5" s="11">
        <f t="shared" si="3"/>
        <v>3299990076</v>
      </c>
    </row>
    <row r="6">
      <c r="A6" s="11"/>
      <c r="B6" s="8"/>
      <c r="C6" s="85" t="str">
        <f>'ТУР3'!$C$6</f>
        <v>Никита Д.</v>
      </c>
      <c r="D6" s="91" t="s">
        <v>31</v>
      </c>
      <c r="E6" s="85" t="str">
        <f>'ТУР3'!$E$6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8</v>
      </c>
      <c r="Y6" s="26">
        <f t="array" ref="Y6">VLOOKUP($U6,$AF$3:$AN$5,5,0)</f>
        <v>12</v>
      </c>
      <c r="Z6" s="26">
        <f t="array" ref="Z6">VLOOKUP($U6,$AF$3:$AN$5,6,0)</f>
        <v>70</v>
      </c>
      <c r="AA6" s="26">
        <f t="array" ref="AA6">VLOOKUP($U6,$AF$3:$AN$5,7,0)</f>
        <v>82</v>
      </c>
      <c r="AB6" s="26">
        <f t="array" ref="AB6">VLOOKUP($U6,$AF$3:$AN$5,8,0)</f>
        <v>-12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debosch</v>
      </c>
      <c r="F11" s="103" t="str">
        <f t="shared" ref="F11:F16" si="7">$E$5</f>
        <v>azalazy</v>
      </c>
      <c r="G11" s="95">
        <f t="shared" ref="G11:G46" si="8">SUM(K11)</f>
        <v>5</v>
      </c>
      <c r="H11" s="97"/>
      <c r="I11" s="95">
        <f t="shared" ref="I11:I17" si="9">SUM(L11)</f>
        <v>3</v>
      </c>
      <c r="J11" s="97"/>
      <c r="K11" s="103">
        <v>5.0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debosch  - (Португалия) azalazy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debosch</v>
      </c>
      <c r="F12" s="103" t="str">
        <f t="shared" si="7"/>
        <v>azalazy</v>
      </c>
      <c r="G12" s="95">
        <f t="shared" si="8"/>
        <v>5</v>
      </c>
      <c r="H12" s="97"/>
      <c r="I12" s="95">
        <f t="shared" si="9"/>
        <v>5</v>
      </c>
      <c r="J12" s="97"/>
      <c r="K12" s="103">
        <v>5.0</v>
      </c>
      <c r="L12" s="103">
        <v>5.0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debosch  - (Португалия) azalazy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debosch</v>
      </c>
      <c r="F13" s="103" t="str">
        <f t="shared" si="7"/>
        <v>azalazy</v>
      </c>
      <c r="G13" s="95">
        <f t="shared" si="8"/>
        <v>4</v>
      </c>
      <c r="H13" s="97"/>
      <c r="I13" s="95">
        <f t="shared" si="9"/>
        <v>2</v>
      </c>
      <c r="J13" s="97"/>
      <c r="K13" s="103">
        <v>4.0</v>
      </c>
      <c r="L13" s="103">
        <v>2.0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debosch  - (Португалия) azalazy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⁠nxkitorio</v>
      </c>
      <c r="F14" s="103" t="str">
        <f t="shared" si="7"/>
        <v>azalazy</v>
      </c>
      <c r="G14" s="95">
        <f t="shared" si="8"/>
        <v>4</v>
      </c>
      <c r="H14" s="97"/>
      <c r="I14" s="95">
        <f t="shared" si="9"/>
        <v>1</v>
      </c>
      <c r="J14" s="97"/>
      <c r="K14" s="103">
        <v>4.0</v>
      </c>
      <c r="L14" s="103">
        <v>1.0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⁠nxkitorio  - (Португалия) azalazy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⁠nxkitorio</v>
      </c>
      <c r="F15" s="103" t="str">
        <f t="shared" si="7"/>
        <v>azalazy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⁠nxkitorio  - (Португалия) azalazy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⁠nxkitorio</v>
      </c>
      <c r="F16" s="103" t="str">
        <f t="shared" si="7"/>
        <v>azalazy</v>
      </c>
      <c r="G16" s="95">
        <f t="shared" si="8"/>
        <v>4</v>
      </c>
      <c r="H16" s="97"/>
      <c r="I16" s="95">
        <f t="shared" si="9"/>
        <v>3</v>
      </c>
      <c r="J16" s="97"/>
      <c r="K16" s="103">
        <v>4.0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⁠nxkitorio  - (Португалия) azalazy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⁠nxkitorio</v>
      </c>
      <c r="F17" s="103" t="str">
        <f t="shared" ref="F17:F22" si="15">$E$4</f>
        <v>debosch</v>
      </c>
      <c r="G17" s="95">
        <f t="shared" si="8"/>
        <v>4</v>
      </c>
      <c r="H17" s="97"/>
      <c r="I17" s="95">
        <f t="shared" si="9"/>
        <v>5</v>
      </c>
      <c r="J17" s="97"/>
      <c r="K17" s="26">
        <v>4.0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⁠nxkitorio  - (Италия) debosch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⁠nxkitorio</v>
      </c>
      <c r="F18" s="103" t="str">
        <f t="shared" si="15"/>
        <v>debosch</v>
      </c>
      <c r="G18" s="95">
        <f t="shared" si="8"/>
        <v>4</v>
      </c>
      <c r="H18" s="97"/>
      <c r="I18" s="95">
        <f t="shared" ref="I18:I22" si="16">SUM(L18,O18)</f>
        <v>5</v>
      </c>
      <c r="J18" s="97"/>
      <c r="K18" s="103">
        <v>4.0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⁠nxkitorio  - (Италия) debosch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⁠nxkitorio</v>
      </c>
      <c r="F19" s="103" t="str">
        <f t="shared" si="15"/>
        <v>debosch</v>
      </c>
      <c r="G19" s="95">
        <f t="shared" si="8"/>
        <v>0</v>
      </c>
      <c r="H19" s="97"/>
      <c r="I19" s="95">
        <f t="shared" si="16"/>
        <v>0</v>
      </c>
      <c r="J19" s="97"/>
      <c r="K19" s="103" t="s">
        <v>42</v>
      </c>
      <c r="L19" s="103" t="s">
        <v>42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⁠nxkitorio  - (Италия) debosch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azalazy</v>
      </c>
      <c r="F20" s="103" t="str">
        <f t="shared" si="15"/>
        <v>debosch</v>
      </c>
      <c r="G20" s="95">
        <f t="shared" si="8"/>
        <v>2</v>
      </c>
      <c r="H20" s="97"/>
      <c r="I20" s="95">
        <f t="shared" si="16"/>
        <v>4</v>
      </c>
      <c r="J20" s="97"/>
      <c r="K20" s="103">
        <v>2.0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azalazy  - (Италия) debosch</v>
      </c>
      <c r="V20" s="11" t="str">
        <f t="shared" si="11"/>
        <v>2:4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azalazy</v>
      </c>
      <c r="F21" s="103" t="str">
        <f t="shared" si="15"/>
        <v>debosch</v>
      </c>
      <c r="G21" s="95">
        <f t="shared" si="8"/>
        <v>4</v>
      </c>
      <c r="H21" s="97"/>
      <c r="I21" s="95">
        <f t="shared" si="16"/>
        <v>3</v>
      </c>
      <c r="J21" s="97"/>
      <c r="K21" s="103">
        <v>4.0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azalazy  - (Италия) debosch</v>
      </c>
      <c r="V21" s="11" t="str">
        <f t="shared" si="11"/>
        <v>4:3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azalazy</v>
      </c>
      <c r="F22" s="103" t="str">
        <f t="shared" si="15"/>
        <v>debosch</v>
      </c>
      <c r="G22" s="95">
        <f t="shared" si="8"/>
        <v>4</v>
      </c>
      <c r="H22" s="97"/>
      <c r="I22" s="95">
        <f t="shared" si="16"/>
        <v>5</v>
      </c>
      <c r="J22" s="97"/>
      <c r="K22" s="103">
        <v>4.0</v>
      </c>
      <c r="L22" s="103">
        <v>5.0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azalazy  - (Италия) debosch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azalazy</v>
      </c>
      <c r="F23" s="103" t="str">
        <f t="shared" ref="F23:F28" si="20">$E$6</f>
        <v>⁠nxkitorio</v>
      </c>
      <c r="G23" s="95">
        <f t="shared" si="8"/>
        <v>2</v>
      </c>
      <c r="H23" s="97"/>
      <c r="I23" s="95">
        <f t="shared" ref="I23:I29" si="21">SUM(L23)</f>
        <v>4</v>
      </c>
      <c r="J23" s="97"/>
      <c r="K23" s="103">
        <v>2.0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azalazy  - (Аргентина) ⁠nxkitorio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azalazy</v>
      </c>
      <c r="F24" s="103" t="str">
        <f t="shared" si="20"/>
        <v>⁠nxkitorio</v>
      </c>
      <c r="G24" s="95">
        <f t="shared" si="8"/>
        <v>3</v>
      </c>
      <c r="H24" s="97"/>
      <c r="I24" s="95">
        <f t="shared" si="21"/>
        <v>0</v>
      </c>
      <c r="J24" s="97"/>
      <c r="K24" s="103">
        <v>3.0</v>
      </c>
      <c r="L24" s="103">
        <v>0.0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azalazy  - (Аргентина) ⁠nxkitorio</v>
      </c>
      <c r="V24" s="11" t="str">
        <f t="shared" si="11"/>
        <v>3:0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azalazy</v>
      </c>
      <c r="F25" s="103" t="str">
        <f t="shared" si="20"/>
        <v>⁠nxkitorio</v>
      </c>
      <c r="G25" s="95">
        <f t="shared" si="8"/>
        <v>4</v>
      </c>
      <c r="H25" s="97"/>
      <c r="I25" s="95">
        <f t="shared" si="21"/>
        <v>5</v>
      </c>
      <c r="J25" s="97"/>
      <c r="K25" s="110">
        <v>4.0</v>
      </c>
      <c r="L25" s="110">
        <v>5.0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azalazy  - (Аргентина) ⁠nxkitorio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debosch</v>
      </c>
      <c r="F26" s="103" t="str">
        <f t="shared" si="20"/>
        <v>⁠nxkitorio</v>
      </c>
      <c r="G26" s="95">
        <f t="shared" si="8"/>
        <v>5</v>
      </c>
      <c r="H26" s="97"/>
      <c r="I26" s="95">
        <f t="shared" si="21"/>
        <v>3</v>
      </c>
      <c r="J26" s="97"/>
      <c r="K26" s="110">
        <v>5.0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debosch  - (Аргентина) ⁠nxkitorio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debosch</v>
      </c>
      <c r="F27" s="103" t="str">
        <f t="shared" si="20"/>
        <v>⁠nxkitorio</v>
      </c>
      <c r="G27" s="95">
        <f t="shared" si="8"/>
        <v>2</v>
      </c>
      <c r="H27" s="97"/>
      <c r="I27" s="95">
        <f t="shared" si="21"/>
        <v>3</v>
      </c>
      <c r="J27" s="97"/>
      <c r="K27" s="110">
        <v>2.0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debosch  - (Аргентина) ⁠nxkitorio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debosch</v>
      </c>
      <c r="F28" s="103" t="str">
        <f t="shared" si="20"/>
        <v>⁠nxkitorio</v>
      </c>
      <c r="G28" s="95">
        <f t="shared" si="8"/>
        <v>5</v>
      </c>
      <c r="H28" s="97"/>
      <c r="I28" s="95">
        <f t="shared" si="21"/>
        <v>5</v>
      </c>
      <c r="J28" s="97"/>
      <c r="K28" s="103">
        <v>5.0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debosch  - (Аргентина) ⁠nxkitorio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debosch</v>
      </c>
      <c r="F29" s="103" t="str">
        <f t="shared" ref="F29:F34" si="25">$E$5</f>
        <v>azalazy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debosch  - (Португалия) azalazy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debosch</v>
      </c>
      <c r="F30" s="103" t="str">
        <f t="shared" si="25"/>
        <v>azalazy</v>
      </c>
      <c r="G30" s="95">
        <f t="shared" si="8"/>
        <v>0</v>
      </c>
      <c r="H30" s="97"/>
      <c r="I30" s="95">
        <f t="shared" ref="I30:I34" si="26">SUM(L30,O30)</f>
        <v>0</v>
      </c>
      <c r="J30" s="97"/>
      <c r="K30" s="103" t="s">
        <v>42</v>
      </c>
      <c r="L30" s="103" t="s">
        <v>42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debosch  - (Португалия) azalazy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debosch</v>
      </c>
      <c r="F31" s="103" t="str">
        <f t="shared" si="25"/>
        <v>azalazy</v>
      </c>
      <c r="G31" s="95">
        <f t="shared" si="8"/>
        <v>4</v>
      </c>
      <c r="H31" s="97"/>
      <c r="I31" s="95">
        <f t="shared" si="26"/>
        <v>2</v>
      </c>
      <c r="J31" s="97"/>
      <c r="K31" s="103">
        <v>4.0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debosch  - (Португалия) azalazy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⁠nxkitorio</v>
      </c>
      <c r="F32" s="103" t="str">
        <f t="shared" si="25"/>
        <v>azalazy</v>
      </c>
      <c r="G32" s="95">
        <f t="shared" si="8"/>
        <v>3</v>
      </c>
      <c r="H32" s="97"/>
      <c r="I32" s="95">
        <f t="shared" si="26"/>
        <v>3</v>
      </c>
      <c r="J32" s="97"/>
      <c r="K32" s="103">
        <v>3.0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⁠nxkitorio  - (Португалия) azalazy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⁠nxkitorio</v>
      </c>
      <c r="F33" s="103" t="str">
        <f t="shared" si="25"/>
        <v>azalazy</v>
      </c>
      <c r="G33" s="95">
        <f t="shared" si="8"/>
        <v>1</v>
      </c>
      <c r="H33" s="97"/>
      <c r="I33" s="95">
        <f t="shared" si="26"/>
        <v>3</v>
      </c>
      <c r="J33" s="97">
        <v>5.0</v>
      </c>
      <c r="K33" s="103">
        <v>1.0</v>
      </c>
      <c r="L33" s="103">
        <v>3.0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⁠nxkitorio  - (Португалия) azalazy</v>
      </c>
      <c r="V33" s="11" t="str">
        <f t="shared" si="11"/>
        <v>1:3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⁠nxkitorio</v>
      </c>
      <c r="F34" s="103" t="str">
        <f t="shared" si="25"/>
        <v>azalazy</v>
      </c>
      <c r="G34" s="95">
        <f t="shared" si="8"/>
        <v>3</v>
      </c>
      <c r="H34" s="97"/>
      <c r="I34" s="95">
        <f t="shared" si="26"/>
        <v>1</v>
      </c>
      <c r="J34" s="97"/>
      <c r="K34" s="103">
        <v>3.0</v>
      </c>
      <c r="L34" s="103">
        <v>1.0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⁠nxkitorio  - (Португалия) azalazy</v>
      </c>
      <c r="V34" s="11" t="str">
        <f t="shared" si="11"/>
        <v>3:1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⁠nxkitorio</v>
      </c>
      <c r="F35" s="103" t="str">
        <f t="shared" ref="F35:F40" si="30">$E$4</f>
        <v>debosch</v>
      </c>
      <c r="G35" s="95">
        <f t="shared" si="8"/>
        <v>3</v>
      </c>
      <c r="H35" s="97"/>
      <c r="I35" s="95">
        <f t="shared" ref="I35:I46" si="31">SUM(L35)</f>
        <v>4</v>
      </c>
      <c r="J35" s="97"/>
      <c r="K35" s="103">
        <v>3.0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⁠nxkitorio  - (Италия) debosch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⁠nxkitorio</v>
      </c>
      <c r="F36" s="103" t="str">
        <f t="shared" si="30"/>
        <v>debosch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⁠nxkitorio  - (Италия) debosch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⁠nxkitorio</v>
      </c>
      <c r="F37" s="103" t="str">
        <f t="shared" si="30"/>
        <v>debosch</v>
      </c>
      <c r="G37" s="95">
        <f t="shared" si="8"/>
        <v>2</v>
      </c>
      <c r="H37" s="97"/>
      <c r="I37" s="95">
        <f t="shared" si="31"/>
        <v>4</v>
      </c>
      <c r="J37" s="97"/>
      <c r="K37" s="103">
        <v>2.0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⁠nxkitorio  - (Италия) debosch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azalazy</v>
      </c>
      <c r="F38" s="103" t="str">
        <f t="shared" si="30"/>
        <v>debosch</v>
      </c>
      <c r="G38" s="95">
        <f t="shared" si="8"/>
        <v>3</v>
      </c>
      <c r="H38" s="11"/>
      <c r="I38" s="95">
        <f t="shared" si="31"/>
        <v>3</v>
      </c>
      <c r="J38" s="11"/>
      <c r="K38" s="103">
        <v>3.0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azalazy  - (Италия) debosch</v>
      </c>
      <c r="V38" s="11" t="str">
        <f t="shared" si="11"/>
        <v>3:3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azalazy</v>
      </c>
      <c r="F39" s="103" t="str">
        <f t="shared" si="30"/>
        <v>debosch</v>
      </c>
      <c r="G39" s="95">
        <f t="shared" si="8"/>
        <v>4</v>
      </c>
      <c r="H39" s="11"/>
      <c r="I39" s="95">
        <f t="shared" si="31"/>
        <v>2</v>
      </c>
      <c r="J39" s="11"/>
      <c r="K39" s="103">
        <v>4.0</v>
      </c>
      <c r="L39" s="103">
        <v>2.0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azalazy  - (Италия) debosch</v>
      </c>
      <c r="V39" s="11" t="str">
        <f t="shared" si="11"/>
        <v>4:2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azalazy</v>
      </c>
      <c r="F40" s="103" t="str">
        <f t="shared" si="30"/>
        <v>debosch</v>
      </c>
      <c r="G40" s="95">
        <f t="shared" si="8"/>
        <v>5</v>
      </c>
      <c r="H40" s="11"/>
      <c r="I40" s="95">
        <f t="shared" si="31"/>
        <v>5</v>
      </c>
      <c r="J40" s="11"/>
      <c r="K40" s="103">
        <v>5.0</v>
      </c>
      <c r="L40" s="103">
        <v>5.0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azalazy  - (Италия) debosch</v>
      </c>
      <c r="V40" s="11" t="str">
        <f t="shared" si="11"/>
        <v>5:5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azalazy</v>
      </c>
      <c r="F41" s="103" t="str">
        <f t="shared" ref="F41:F46" si="35">$E$6</f>
        <v>⁠nxkitorio</v>
      </c>
      <c r="G41" s="95">
        <f t="shared" si="8"/>
        <v>4</v>
      </c>
      <c r="H41" s="11"/>
      <c r="I41" s="95">
        <f t="shared" si="31"/>
        <v>5</v>
      </c>
      <c r="J41" s="11"/>
      <c r="K41" s="103">
        <v>4.0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azalazy  - (Аргентина) ⁠nxkitorio</v>
      </c>
      <c r="V41" s="11" t="str">
        <f t="shared" si="11"/>
        <v>4:5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azalazy</v>
      </c>
      <c r="F42" s="103" t="str">
        <f t="shared" si="35"/>
        <v>⁠nxkitorio</v>
      </c>
      <c r="G42" s="95">
        <f t="shared" si="8"/>
        <v>4</v>
      </c>
      <c r="H42" s="11"/>
      <c r="I42" s="95">
        <f t="shared" si="31"/>
        <v>5</v>
      </c>
      <c r="J42" s="11"/>
      <c r="K42" s="103">
        <v>4.0</v>
      </c>
      <c r="L42" s="103">
        <v>5.0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azalazy  - (Аргентина) ⁠nxkitorio</v>
      </c>
      <c r="V42" s="11" t="str">
        <f t="shared" si="11"/>
        <v>4:5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azalazy</v>
      </c>
      <c r="F43" s="103" t="str">
        <f t="shared" si="35"/>
        <v>⁠nxkitorio</v>
      </c>
      <c r="G43" s="95">
        <f t="shared" si="8"/>
        <v>0</v>
      </c>
      <c r="H43" s="11"/>
      <c r="I43" s="95">
        <f t="shared" si="31"/>
        <v>0</v>
      </c>
      <c r="J43" s="11"/>
      <c r="K43" s="103" t="s">
        <v>42</v>
      </c>
      <c r="L43" s="103" t="s">
        <v>42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azalazy  - (Аргентина) ⁠nxkitorio</v>
      </c>
      <c r="V43" s="11" t="str">
        <f t="shared" si="11"/>
        <v>0:0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debosch</v>
      </c>
      <c r="F44" s="103" t="str">
        <f t="shared" si="35"/>
        <v>⁠nxkitorio</v>
      </c>
      <c r="G44" s="95">
        <f t="shared" si="8"/>
        <v>5</v>
      </c>
      <c r="H44" s="11"/>
      <c r="I44" s="95">
        <f t="shared" si="31"/>
        <v>4</v>
      </c>
      <c r="J44" s="11"/>
      <c r="K44" s="103">
        <v>5.0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debosch  - (Аргентина) ⁠nxkitorio</v>
      </c>
      <c r="V44" s="11" t="str">
        <f t="shared" si="11"/>
        <v>5:4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debosch</v>
      </c>
      <c r="F45" s="103" t="str">
        <f t="shared" si="35"/>
        <v>⁠nxkitorio</v>
      </c>
      <c r="G45" s="95">
        <f t="shared" si="8"/>
        <v>4</v>
      </c>
      <c r="H45" s="11"/>
      <c r="I45" s="95">
        <f t="shared" si="31"/>
        <v>3</v>
      </c>
      <c r="J45" s="11"/>
      <c r="K45" s="103">
        <v>4.0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debosch  - (Аргентина) ⁠nxkitorio</v>
      </c>
      <c r="V45" s="11" t="str">
        <f t="shared" si="11"/>
        <v>4:3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debosch</v>
      </c>
      <c r="F46" s="103" t="str">
        <f t="shared" si="35"/>
        <v>⁠nxkitorio</v>
      </c>
      <c r="G46" s="95">
        <f t="shared" si="8"/>
        <v>2</v>
      </c>
      <c r="H46" s="11"/>
      <c r="I46" s="95">
        <f t="shared" si="31"/>
        <v>3</v>
      </c>
      <c r="J46" s="11"/>
      <c r="K46" s="103">
        <v>2.0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debosch  - (Аргентина) ⁠nxkitorio</v>
      </c>
      <c r="V46" s="11" t="str">
        <f t="shared" si="11"/>
        <v>2:3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45719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45719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8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6</v>
      </c>
      <c r="AJ3" s="7">
        <f t="array" ref="AJ3">SUM(('ТУР5'!home=AF3)*('ТУР5'!homescore&lt;'ТУР5'!visitorscore),('ТУР5'!visitor=AF3)*('ТУР5'!visitorscore&lt;'ТУР5'!homescore))</f>
        <v>10</v>
      </c>
      <c r="AK3" s="31">
        <f t="array" ref="AK3">SUMIF('ТУР5'!home,AF3,'ТУР5'!homescore)+SUMIF('ТУР5'!visitor,AF3,'ТУР5'!visitorscore)</f>
        <v>82</v>
      </c>
      <c r="AL3" s="32">
        <f t="array" ref="AL3">SUMIF('ТУР5'!home,AF3,'ТУР5'!visitorscore)+SUMIF('ТУР5'!visitor,AF3,'ТУР5'!homescore)</f>
        <v>82</v>
      </c>
      <c r="AM3" s="7">
        <f t="shared" ref="AM3:AM5" si="2">AK3-AL3</f>
        <v>0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3000000082</v>
      </c>
    </row>
    <row r="4">
      <c r="A4" s="11"/>
      <c r="B4" s="8"/>
      <c r="C4" s="85" t="str">
        <f>'ТУР3'!$C$4</f>
        <v>Тимофей Б.</v>
      </c>
      <c r="D4" s="91" t="s">
        <v>25</v>
      </c>
      <c r="E4" s="85" t="str">
        <f>'ТУР3'!$E$4</f>
        <v>debosch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8</v>
      </c>
      <c r="Y4" s="26">
        <f t="array" ref="Y4">VLOOKUP($U4,$AF$3:$AN$5,5,0)</f>
        <v>4</v>
      </c>
      <c r="Z4" s="26">
        <f t="array" ref="Z4">VLOOKUP($U4,$AF$3:$AN$5,6,0)</f>
        <v>89</v>
      </c>
      <c r="AA4" s="26">
        <f t="array" ref="AA4">VLOOKUP($U4,$AF$3:$AN$5,7,0)</f>
        <v>76</v>
      </c>
      <c r="AB4" s="26">
        <f t="array" ref="AB4">VLOOKUP($U4,$AF$3:$AN$5,8,0)</f>
        <v>13</v>
      </c>
      <c r="AC4" s="26">
        <f t="array" ref="AC4">VLOOKUP($U4,$AF$3:$AN$5,9,0)</f>
        <v>44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12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7">
        <f t="array" ref="AJ4">SUM(('ТУР5'!home=AF4)*('ТУР5'!homescore&lt;'ТУР5'!visitorscore),('ТУР5'!visitor=AF4)*('ТУР5'!visitorscore&lt;'ТУР5'!homescore))</f>
        <v>4</v>
      </c>
      <c r="AK4" s="31">
        <f t="array" ref="AK4">SUMIF('ТУР5'!home,AF4,'ТУР5'!homescore)+SUMIF('ТУР5'!visitor,AF4,'ТУР5'!visitorscore)</f>
        <v>89</v>
      </c>
      <c r="AL4" s="32">
        <f t="array" ref="AL4">SUMIF('ТУР5'!home,AF4,'ТУР5'!visitorscore)+SUMIF('ТУР5'!visitor,AF4,'ТУР5'!homescore)</f>
        <v>76</v>
      </c>
      <c r="AM4" s="7">
        <f t="shared" si="2"/>
        <v>13</v>
      </c>
      <c r="AN4" s="31">
        <f t="array" ref="AN4">AH4*Options!$B$2+AI4*Options!$B$3+AJ4*Options!$B$4+VLOOKUP(AF4,$E$4:$F$9,2,0)</f>
        <v>44</v>
      </c>
      <c r="AO4" s="11">
        <f t="shared" si="3"/>
        <v>4400130089</v>
      </c>
    </row>
    <row r="5">
      <c r="A5" s="11"/>
      <c r="B5" s="8"/>
      <c r="C5" s="86" t="str">
        <f>'ТУР3'!$C$5</f>
        <v>Азамат Г.</v>
      </c>
      <c r="D5" s="113" t="s">
        <v>28</v>
      </c>
      <c r="E5" s="85" t="str">
        <f>'ТУР3'!$E$5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82</v>
      </c>
      <c r="AA5" s="26">
        <f t="array" ref="AA5">VLOOKUP($U5,$AF$3:$AN$5,7,0)</f>
        <v>82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5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11</v>
      </c>
      <c r="AK5" s="31">
        <f t="array" ref="AK5">SUMIF('ТУР5'!home,AF5,'ТУР5'!homescore)+SUMIF('ТУР5'!visitor,AF5,'ТУР5'!visitorscore)</f>
        <v>71</v>
      </c>
      <c r="AL5" s="32">
        <f t="array" ref="AL5">SUMIF('ТУР5'!home,AF5,'ТУР5'!visitorscore)+SUMIF('ТУР5'!visitor,AF5,'ТУР5'!homescore)</f>
        <v>84</v>
      </c>
      <c r="AM5" s="7">
        <f t="shared" si="2"/>
        <v>-13</v>
      </c>
      <c r="AN5" s="31">
        <f t="array" ref="AN5">AH5*Options!$B$2+AI5*Options!$B$3+AJ5*Options!$B$4+VLOOKUP(AF5,$E$4:$F$9,2,0)</f>
        <v>23</v>
      </c>
      <c r="AO5" s="11">
        <f t="shared" si="3"/>
        <v>2299870071</v>
      </c>
    </row>
    <row r="6">
      <c r="A6" s="11"/>
      <c r="B6" s="8"/>
      <c r="C6" s="85" t="str">
        <f>'ТУР3'!$C$6</f>
        <v>Никита Д.</v>
      </c>
      <c r="D6" s="91" t="s">
        <v>31</v>
      </c>
      <c r="E6" s="85" t="str">
        <f>'ТУР3'!$E$6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71</v>
      </c>
      <c r="AA6" s="26">
        <f t="array" ref="AA6">VLOOKUP($U6,$AF$3:$AN$5,7,0)</f>
        <v>84</v>
      </c>
      <c r="AB6" s="26">
        <f t="array" ref="AB6">VLOOKUP($U6,$AF$3:$AN$5,8,0)</f>
        <v>-13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debosch</v>
      </c>
      <c r="F11" s="103" t="str">
        <f t="shared" ref="F11:F16" si="7">$E$5</f>
        <v>azalazy</v>
      </c>
      <c r="G11" s="95">
        <f t="shared" ref="G11:G46" si="8">SUM(K11)</f>
        <v>4</v>
      </c>
      <c r="H11" s="97"/>
      <c r="I11" s="95">
        <f t="shared" ref="I11:I17" si="9">SUM(L11)</f>
        <v>4</v>
      </c>
      <c r="J11" s="97"/>
      <c r="K11" s="103">
        <v>4.0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debosch  - (Германия) azalazy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debosch</v>
      </c>
      <c r="F12" s="103" t="str">
        <f t="shared" si="7"/>
        <v>azalazy</v>
      </c>
      <c r="G12" s="95">
        <f t="shared" si="8"/>
        <v>3</v>
      </c>
      <c r="H12" s="97"/>
      <c r="I12" s="95">
        <f t="shared" si="9"/>
        <v>4</v>
      </c>
      <c r="J12" s="97"/>
      <c r="K12" s="103">
        <v>3.0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242.0</v>
      </c>
      <c r="U12" s="105" t="str">
        <f t="shared" si="10"/>
        <v>20:05 Penalty shot cup (Италия) debosch  - (Германия) azalazy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debosch</v>
      </c>
      <c r="F13" s="103" t="str">
        <f t="shared" si="7"/>
        <v>azalazy</v>
      </c>
      <c r="G13" s="95">
        <f t="shared" si="8"/>
        <v>5</v>
      </c>
      <c r="H13" s="97"/>
      <c r="I13" s="95">
        <f t="shared" si="9"/>
        <v>3</v>
      </c>
      <c r="J13" s="97"/>
      <c r="K13" s="103">
        <v>5.0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243.0</v>
      </c>
      <c r="U13" s="105" t="str">
        <f t="shared" si="10"/>
        <v>20:10 Penalty shot cup (Италия) debosch  - (Германия) azalazy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⁠nxkitorio</v>
      </c>
      <c r="F14" s="103" t="str">
        <f t="shared" si="7"/>
        <v>azalazy</v>
      </c>
      <c r="G14" s="95">
        <f t="shared" si="8"/>
        <v>2</v>
      </c>
      <c r="H14" s="97"/>
      <c r="I14" s="95">
        <f t="shared" si="9"/>
        <v>4</v>
      </c>
      <c r="J14" s="97"/>
      <c r="K14" s="103">
        <v>2.0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⁠nxkitorio  - (Германия) azalazy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⁠nxkitorio</v>
      </c>
      <c r="F15" s="103" t="str">
        <f t="shared" si="7"/>
        <v>azalazy</v>
      </c>
      <c r="G15" s="95">
        <f t="shared" si="8"/>
        <v>1</v>
      </c>
      <c r="H15" s="97"/>
      <c r="I15" s="95">
        <f t="shared" si="9"/>
        <v>3</v>
      </c>
      <c r="J15" s="97"/>
      <c r="K15" s="103">
        <v>1.0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⁠nxkitorio  - (Германия) azalazy</v>
      </c>
      <c r="V15" s="11" t="str">
        <f t="shared" si="11"/>
        <v>1:3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⁠nxkitorio</v>
      </c>
      <c r="F16" s="103" t="str">
        <f t="shared" si="7"/>
        <v>azalazy</v>
      </c>
      <c r="G16" s="95">
        <f t="shared" si="8"/>
        <v>4</v>
      </c>
      <c r="H16" s="97"/>
      <c r="I16" s="95">
        <f t="shared" si="9"/>
        <v>4</v>
      </c>
      <c r="J16" s="97"/>
      <c r="K16" s="103">
        <v>4.0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⁠nxkitorio  - (Германия) azalazy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⁠nxkitorio</v>
      </c>
      <c r="F17" s="103" t="str">
        <f t="shared" ref="F17:F22" si="15">$E$4</f>
        <v>debosch</v>
      </c>
      <c r="G17" s="95">
        <f t="shared" si="8"/>
        <v>2</v>
      </c>
      <c r="H17" s="97"/>
      <c r="I17" s="95">
        <f t="shared" si="9"/>
        <v>4</v>
      </c>
      <c r="J17" s="97"/>
      <c r="K17" s="26">
        <v>2.0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247.0</v>
      </c>
      <c r="U17" s="105" t="str">
        <f t="shared" si="10"/>
        <v>20:30 Penalty shot cup (Аргентина) ⁠nxkitorio  - (Италия) debosch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⁠nxkitorio</v>
      </c>
      <c r="F18" s="103" t="str">
        <f t="shared" si="15"/>
        <v>debosch</v>
      </c>
      <c r="G18" s="95">
        <f t="shared" si="8"/>
        <v>4</v>
      </c>
      <c r="H18" s="97"/>
      <c r="I18" s="95">
        <f t="shared" ref="I18:I22" si="16">SUM(L18,O18)</f>
        <v>3</v>
      </c>
      <c r="J18" s="97"/>
      <c r="K18" s="103">
        <v>4.0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248.0</v>
      </c>
      <c r="U18" s="105" t="str">
        <f t="shared" si="10"/>
        <v>20:35 Penalty shot cup (Аргентина) ⁠nxkitorio  - (Италия) debosch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⁠nxkitorio</v>
      </c>
      <c r="F19" s="103" t="str">
        <f t="shared" si="15"/>
        <v>debosch</v>
      </c>
      <c r="G19" s="95">
        <f t="shared" si="8"/>
        <v>5</v>
      </c>
      <c r="H19" s="97"/>
      <c r="I19" s="95">
        <f t="shared" si="16"/>
        <v>4</v>
      </c>
      <c r="J19" s="97"/>
      <c r="K19" s="103">
        <v>5.0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249.0</v>
      </c>
      <c r="U19" s="105" t="str">
        <f t="shared" si="10"/>
        <v>20:40 Penalty shot cup (Аргентина) ⁠nxkitorio  - (Италия) debosch</v>
      </c>
      <c r="V19" s="11" t="str">
        <f t="shared" si="11"/>
        <v>5:4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azalazy</v>
      </c>
      <c r="F20" s="103" t="str">
        <f t="shared" si="15"/>
        <v>debosch</v>
      </c>
      <c r="G20" s="95">
        <f t="shared" si="8"/>
        <v>4</v>
      </c>
      <c r="H20" s="97"/>
      <c r="I20" s="95">
        <f t="shared" si="16"/>
        <v>3</v>
      </c>
      <c r="J20" s="97"/>
      <c r="K20" s="103">
        <v>4.0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azalazy  - (Италия) debosch</v>
      </c>
      <c r="V20" s="11" t="str">
        <f t="shared" si="11"/>
        <v>4:3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azalazy</v>
      </c>
      <c r="F21" s="103" t="str">
        <f t="shared" si="15"/>
        <v>debosch</v>
      </c>
      <c r="G21" s="95">
        <f t="shared" si="8"/>
        <v>4</v>
      </c>
      <c r="H21" s="97"/>
      <c r="I21" s="95">
        <f t="shared" si="16"/>
        <v>1</v>
      </c>
      <c r="J21" s="97"/>
      <c r="K21" s="103">
        <v>4.0</v>
      </c>
      <c r="L21" s="103">
        <v>1.0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azalazy  - (Италия) debosch</v>
      </c>
      <c r="V21" s="11" t="str">
        <f t="shared" si="11"/>
        <v>4:1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azalazy</v>
      </c>
      <c r="F22" s="103" t="str">
        <f t="shared" si="15"/>
        <v>debosch</v>
      </c>
      <c r="G22" s="95">
        <f t="shared" si="8"/>
        <v>5</v>
      </c>
      <c r="H22" s="97"/>
      <c r="I22" s="95">
        <f t="shared" si="16"/>
        <v>3</v>
      </c>
      <c r="J22" s="97"/>
      <c r="K22" s="103">
        <v>5.0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azalazy  - (Италия) debosch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azalazy</v>
      </c>
      <c r="F23" s="103" t="str">
        <f t="shared" ref="F23:F28" si="20">$E$6</f>
        <v>⁠nxkitorio</v>
      </c>
      <c r="G23" s="95">
        <f t="shared" si="8"/>
        <v>4</v>
      </c>
      <c r="H23" s="97"/>
      <c r="I23" s="95">
        <f t="shared" ref="I23:I29" si="21">SUM(L23)</f>
        <v>4</v>
      </c>
      <c r="J23" s="97"/>
      <c r="K23" s="103">
        <v>4.0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253.0</v>
      </c>
      <c r="U23" s="105" t="str">
        <f t="shared" si="10"/>
        <v>21:00 Penalty shot cup (Германия) azalazy  - (Аргентина) ⁠nxkitorio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azalazy</v>
      </c>
      <c r="F24" s="103" t="str">
        <f t="shared" si="20"/>
        <v>⁠nxkitorio</v>
      </c>
      <c r="G24" s="95">
        <f t="shared" si="8"/>
        <v>0</v>
      </c>
      <c r="H24" s="97"/>
      <c r="I24" s="95">
        <f t="shared" si="21"/>
        <v>0</v>
      </c>
      <c r="J24" s="97"/>
      <c r="K24" s="103" t="s">
        <v>42</v>
      </c>
      <c r="L24" s="103" t="s">
        <v>42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254.0</v>
      </c>
      <c r="U24" s="105" t="str">
        <f t="shared" si="10"/>
        <v>21:05 Penalty shot cup (Германия) azalazy  - (Аргентина) ⁠nxkitorio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azalazy</v>
      </c>
      <c r="F25" s="103" t="str">
        <f t="shared" si="20"/>
        <v>⁠nxkitorio</v>
      </c>
      <c r="G25" s="95">
        <f t="shared" si="8"/>
        <v>3</v>
      </c>
      <c r="H25" s="97"/>
      <c r="I25" s="95">
        <f t="shared" si="21"/>
        <v>4</v>
      </c>
      <c r="J25" s="97"/>
      <c r="K25" s="110">
        <v>3.0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255.0</v>
      </c>
      <c r="U25" s="105" t="str">
        <f t="shared" si="10"/>
        <v>21:10 Penalty shot cup (Германия) azalazy  - (Аргентина) ⁠nxkitorio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debosch</v>
      </c>
      <c r="F26" s="103" t="str">
        <f t="shared" si="20"/>
        <v>⁠nxkitorio</v>
      </c>
      <c r="G26" s="95">
        <f t="shared" si="8"/>
        <v>4</v>
      </c>
      <c r="H26" s="97"/>
      <c r="I26" s="95">
        <f t="shared" si="21"/>
        <v>5</v>
      </c>
      <c r="J26" s="97"/>
      <c r="K26" s="110">
        <v>4.0</v>
      </c>
      <c r="L26" s="110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debosch  - (Аргентина) ⁠nxkitorio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debosch</v>
      </c>
      <c r="F27" s="103" t="str">
        <f t="shared" si="20"/>
        <v>⁠nxkitorio</v>
      </c>
      <c r="G27" s="95">
        <f t="shared" si="8"/>
        <v>4</v>
      </c>
      <c r="H27" s="97"/>
      <c r="I27" s="95">
        <f t="shared" si="21"/>
        <v>1</v>
      </c>
      <c r="J27" s="97"/>
      <c r="K27" s="110">
        <v>4.0</v>
      </c>
      <c r="L27" s="110">
        <v>1.0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debosch  - (Аргентина) ⁠nxkitorio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debosch</v>
      </c>
      <c r="F28" s="103" t="str">
        <f t="shared" si="20"/>
        <v>⁠nxkitorio</v>
      </c>
      <c r="G28" s="95">
        <f t="shared" si="8"/>
        <v>4</v>
      </c>
      <c r="H28" s="97"/>
      <c r="I28" s="95">
        <f t="shared" si="21"/>
        <v>3</v>
      </c>
      <c r="J28" s="97"/>
      <c r="K28" s="103">
        <v>4.0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debosch  - (Аргентина) ⁠nxkitorio</v>
      </c>
      <c r="V28" s="11" t="str">
        <f t="shared" si="11"/>
        <v>4:3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debosch</v>
      </c>
      <c r="F29" s="103" t="str">
        <f t="shared" ref="F29:F34" si="25">$E$5</f>
        <v>azalazy</v>
      </c>
      <c r="G29" s="95">
        <f t="shared" si="8"/>
        <v>4</v>
      </c>
      <c r="H29" s="97"/>
      <c r="I29" s="95">
        <f t="shared" si="21"/>
        <v>2</v>
      </c>
      <c r="J29" s="95"/>
      <c r="K29" s="111">
        <v>4.0</v>
      </c>
      <c r="L29" s="103">
        <v>2.0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259.0</v>
      </c>
      <c r="U29" s="105" t="str">
        <f t="shared" si="10"/>
        <v>21:30 Penalty shot cup (Италия) debosch  - (Германия) azalazy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debosch</v>
      </c>
      <c r="F30" s="103" t="str">
        <f t="shared" si="25"/>
        <v>azalazy</v>
      </c>
      <c r="G30" s="95">
        <f t="shared" si="8"/>
        <v>5</v>
      </c>
      <c r="H30" s="97"/>
      <c r="I30" s="95">
        <f t="shared" ref="I30:I34" si="26">SUM(L30,O30)</f>
        <v>5</v>
      </c>
      <c r="J30" s="97"/>
      <c r="K30" s="103">
        <v>5.0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260.0</v>
      </c>
      <c r="U30" s="105" t="str">
        <f t="shared" si="10"/>
        <v>21:35 Penalty shot cup (Италия) debosch  - (Германия) azalazy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debosch</v>
      </c>
      <c r="F31" s="103" t="str">
        <f t="shared" si="25"/>
        <v>azalazy</v>
      </c>
      <c r="G31" s="95">
        <f t="shared" si="8"/>
        <v>4</v>
      </c>
      <c r="H31" s="97"/>
      <c r="I31" s="95">
        <f t="shared" si="26"/>
        <v>2</v>
      </c>
      <c r="J31" s="97"/>
      <c r="K31" s="103">
        <v>4.0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261.0</v>
      </c>
      <c r="U31" s="105" t="str">
        <f t="shared" si="10"/>
        <v>21:40 Penalty shot cup (Италия) debosch  - (Германия) azalazy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⁠nxkitorio</v>
      </c>
      <c r="F32" s="103" t="str">
        <f t="shared" si="25"/>
        <v>azalazy</v>
      </c>
      <c r="G32" s="95">
        <f t="shared" si="8"/>
        <v>3</v>
      </c>
      <c r="H32" s="97"/>
      <c r="I32" s="95">
        <f t="shared" si="26"/>
        <v>4</v>
      </c>
      <c r="J32" s="97"/>
      <c r="K32" s="103">
        <v>3.0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⁠nxkitorio  - (Германия) azalazy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⁠nxkitorio</v>
      </c>
      <c r="F33" s="103" t="str">
        <f t="shared" si="25"/>
        <v>azalazy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⁠nxkitorio  - (Германия) azalazy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⁠nxkitorio</v>
      </c>
      <c r="F34" s="103" t="str">
        <f t="shared" si="25"/>
        <v>azalazy</v>
      </c>
      <c r="G34" s="95">
        <f t="shared" si="8"/>
        <v>5</v>
      </c>
      <c r="H34" s="97"/>
      <c r="I34" s="95">
        <f t="shared" si="26"/>
        <v>5</v>
      </c>
      <c r="J34" s="97"/>
      <c r="K34" s="103">
        <v>5.0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⁠nxkitorio  - (Германия) azalazy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⁠nxkitorio</v>
      </c>
      <c r="F35" s="103" t="str">
        <f t="shared" ref="F35:F40" si="30">$E$4</f>
        <v>debosch</v>
      </c>
      <c r="G35" s="95">
        <f t="shared" si="8"/>
        <v>0</v>
      </c>
      <c r="H35" s="97"/>
      <c r="I35" s="95">
        <f t="shared" ref="I35:I46" si="31">SUM(L35)</f>
        <v>0</v>
      </c>
      <c r="J35" s="97"/>
      <c r="K35" s="103" t="s">
        <v>42</v>
      </c>
      <c r="L35" s="103" t="s">
        <v>42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265.0</v>
      </c>
      <c r="U35" s="105" t="str">
        <f t="shared" si="10"/>
        <v>22:00 Penalty shot cup (Аргентина) ⁠nxkitorio  - (Италия) debosch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⁠nxkitorio</v>
      </c>
      <c r="F36" s="103" t="str">
        <f t="shared" si="30"/>
        <v>debosch</v>
      </c>
      <c r="G36" s="95">
        <f t="shared" si="8"/>
        <v>4</v>
      </c>
      <c r="H36" s="97"/>
      <c r="I36" s="95">
        <f t="shared" si="31"/>
        <v>5</v>
      </c>
      <c r="J36" s="97"/>
      <c r="K36" s="103">
        <v>4.0</v>
      </c>
      <c r="L36" s="103">
        <v>5.0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266.0</v>
      </c>
      <c r="U36" s="105" t="str">
        <f t="shared" si="10"/>
        <v>22:05 Penalty shot cup (Аргентина) ⁠nxkitorio  - (Италия) debosch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⁠nxkitorio</v>
      </c>
      <c r="F37" s="103" t="str">
        <f t="shared" si="30"/>
        <v>debosch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267.0</v>
      </c>
      <c r="U37" s="105" t="str">
        <f t="shared" si="10"/>
        <v>22:10 Penalty shot cup (Аргентина) ⁠nxkitorio  - (Италия) debosch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azalazy</v>
      </c>
      <c r="F38" s="103" t="str">
        <f t="shared" si="30"/>
        <v>debosch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azalazy  - (Италия) debosch</v>
      </c>
      <c r="V38" s="11" t="str">
        <f t="shared" si="11"/>
        <v>4:4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azalazy</v>
      </c>
      <c r="F39" s="103" t="str">
        <f t="shared" si="30"/>
        <v>debosch</v>
      </c>
      <c r="G39" s="95">
        <f t="shared" si="8"/>
        <v>5</v>
      </c>
      <c r="H39" s="11"/>
      <c r="I39" s="95">
        <f t="shared" si="31"/>
        <v>4</v>
      </c>
      <c r="J39" s="11"/>
      <c r="K39" s="103">
        <v>5.0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azalazy  - (Италия) debosch</v>
      </c>
      <c r="V39" s="11" t="str">
        <f t="shared" si="11"/>
        <v>5:4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azalazy</v>
      </c>
      <c r="F40" s="103" t="str">
        <f t="shared" si="30"/>
        <v>debosch</v>
      </c>
      <c r="G40" s="95">
        <f t="shared" si="8"/>
        <v>4</v>
      </c>
      <c r="H40" s="11"/>
      <c r="I40" s="95">
        <f t="shared" si="31"/>
        <v>1</v>
      </c>
      <c r="J40" s="11"/>
      <c r="K40" s="103">
        <v>4.0</v>
      </c>
      <c r="L40" s="103">
        <v>1.0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azalazy  - (Италия) debosch</v>
      </c>
      <c r="V40" s="11" t="str">
        <f t="shared" si="11"/>
        <v>4:1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azalazy</v>
      </c>
      <c r="F41" s="103" t="str">
        <f t="shared" ref="F41:F46" si="35">$E$6</f>
        <v>⁠nxkitorio</v>
      </c>
      <c r="G41" s="95">
        <f t="shared" si="8"/>
        <v>4</v>
      </c>
      <c r="H41" s="11"/>
      <c r="I41" s="95">
        <f t="shared" si="31"/>
        <v>2</v>
      </c>
      <c r="J41" s="11"/>
      <c r="K41" s="103">
        <v>4.0</v>
      </c>
      <c r="L41" s="103">
        <v>2.0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271.0</v>
      </c>
      <c r="U41" s="105" t="str">
        <f t="shared" si="10"/>
        <v>22:30 Penalty shot cup (Германия) azalazy  - (Аргентина) ⁠nxkitorio</v>
      </c>
      <c r="V41" s="11" t="str">
        <f t="shared" si="11"/>
        <v>4:2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azalazy</v>
      </c>
      <c r="F42" s="103" t="str">
        <f t="shared" si="35"/>
        <v>⁠nxkitorio</v>
      </c>
      <c r="G42" s="95">
        <f t="shared" si="8"/>
        <v>4</v>
      </c>
      <c r="H42" s="11"/>
      <c r="I42" s="95">
        <f t="shared" si="31"/>
        <v>4</v>
      </c>
      <c r="J42" s="11"/>
      <c r="K42" s="103">
        <v>4.0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272.0</v>
      </c>
      <c r="U42" s="105" t="str">
        <f t="shared" si="10"/>
        <v>22:35 Penalty shot cup (Германия) azalazy  - (Аргентина) ⁠nxkitorio</v>
      </c>
      <c r="V42" s="11" t="str">
        <f t="shared" si="11"/>
        <v>4:4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azalazy</v>
      </c>
      <c r="F43" s="103" t="str">
        <f t="shared" si="35"/>
        <v>⁠nxkitorio</v>
      </c>
      <c r="G43" s="95">
        <f t="shared" si="8"/>
        <v>4</v>
      </c>
      <c r="H43" s="11"/>
      <c r="I43" s="95">
        <f t="shared" si="31"/>
        <v>3</v>
      </c>
      <c r="J43" s="11"/>
      <c r="K43" s="103">
        <v>4.0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273.0</v>
      </c>
      <c r="U43" s="105" t="str">
        <f t="shared" si="10"/>
        <v>22:40 Penalty shot cup (Германия) azalazy  - (Аргентина) ⁠nxkitorio</v>
      </c>
      <c r="V43" s="11" t="str">
        <f t="shared" si="11"/>
        <v>4:3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debosch</v>
      </c>
      <c r="F44" s="103" t="str">
        <f t="shared" si="35"/>
        <v>⁠nxkitorio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debosch  - (Аргентина) ⁠nxkitorio</v>
      </c>
      <c r="V44" s="11" t="str">
        <f t="shared" si="11"/>
        <v>5:3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debosch</v>
      </c>
      <c r="F45" s="103" t="str">
        <f t="shared" si="35"/>
        <v>⁠nxkitorio</v>
      </c>
      <c r="G45" s="95">
        <f t="shared" si="8"/>
        <v>4</v>
      </c>
      <c r="H45" s="11"/>
      <c r="I45" s="95">
        <f t="shared" si="31"/>
        <v>5</v>
      </c>
      <c r="J45" s="11"/>
      <c r="K45" s="103">
        <v>4.0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debosch  - (Аргентина) ⁠nxkitorio</v>
      </c>
      <c r="V45" s="11" t="str">
        <f t="shared" si="11"/>
        <v>4:5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debosch</v>
      </c>
      <c r="F46" s="103" t="str">
        <f t="shared" si="35"/>
        <v>⁠nxkitorio</v>
      </c>
      <c r="G46" s="95">
        <f t="shared" si="8"/>
        <v>0</v>
      </c>
      <c r="H46" s="11"/>
      <c r="I46" s="95">
        <f t="shared" si="31"/>
        <v>0</v>
      </c>
      <c r="J46" s="11"/>
      <c r="K46" s="103" t="s">
        <v>42</v>
      </c>
      <c r="L46" s="103" t="s">
        <v>42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debosch  - (Аргентина) ⁠nxkitorio</v>
      </c>
      <c r="V46" s="11" t="str">
        <f t="shared" si="11"/>
        <v>0:0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45719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45719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9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7">
        <f t="array" ref="AJ3">SUM(('ТУР6'!home=AF3)*('ТУР6'!homescore&lt;'ТУР6'!visitorscore),('ТУР6'!visitor=AF3)*('ТУР6'!visitorscore&lt;'ТУР6'!homescore))</f>
        <v>7</v>
      </c>
      <c r="AK3" s="31">
        <f t="array" ref="AK3">SUMIF('ТУР6'!home,AF3,'ТУР6'!homescore)+SUMIF('ТУР6'!visitor,AF3,'ТУР6'!visitorscore)</f>
        <v>79</v>
      </c>
      <c r="AL3" s="32">
        <f t="array" ref="AL3">SUMIF('ТУР6'!home,AF3,'ТУР6'!visitorscore)+SUMIF('ТУР6'!visitor,AF3,'ТУР6'!homescore)</f>
        <v>74</v>
      </c>
      <c r="AM3" s="7">
        <f t="shared" ref="AM3:AM5" si="2">AK3-AL3</f>
        <v>5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3500050079</v>
      </c>
    </row>
    <row r="4">
      <c r="A4" s="11"/>
      <c r="B4" s="8"/>
      <c r="C4" s="114" t="s">
        <v>60</v>
      </c>
      <c r="D4" s="86" t="s">
        <v>46</v>
      </c>
      <c r="E4" s="8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79</v>
      </c>
      <c r="AA4" s="26">
        <f t="array" ref="AA4">VLOOKUP($U4,$AF$3:$AN$5,7,0)</f>
        <v>74</v>
      </c>
      <c r="AB4" s="26">
        <f t="array" ref="AB4">VLOOKUP($U4,$AF$3:$AN$5,8,0)</f>
        <v>5</v>
      </c>
      <c r="AC4" s="26">
        <f t="array" ref="AC4">VLOOKUP($U4,$AF$3:$AN$5,9,0)</f>
        <v>35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8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7">
        <f t="array" ref="AJ4">SUM(('ТУР6'!home=AF4)*('ТУР6'!homescore&lt;'ТУР6'!visitorscore),('ТУР6'!visitor=AF4)*('ТУР6'!visitorscore&lt;'ТУР6'!homescore))</f>
        <v>6</v>
      </c>
      <c r="AK4" s="31">
        <f t="array" ref="AK4">SUMIF('ТУР6'!home,AF4,'ТУР6'!homescore)+SUMIF('ТУР6'!visitor,AF4,'ТУР6'!visitorscore)</f>
        <v>90</v>
      </c>
      <c r="AL4" s="32">
        <f t="array" ref="AL4">SUMIF('ТУР6'!home,AF4,'ТУР6'!visitorscore)+SUMIF('ТУР6'!visitor,AF4,'ТУР6'!homescore)</f>
        <v>87</v>
      </c>
      <c r="AM4" s="7">
        <f t="shared" si="2"/>
        <v>3</v>
      </c>
      <c r="AN4" s="31">
        <f t="array" ref="AN4">AH4*Options!$B$2+AI4*Options!$B$3+AJ4*Options!$B$4+VLOOKUP(AF4,$E$4:$F$9,2,0)</f>
        <v>34</v>
      </c>
      <c r="AO4" s="11">
        <f t="shared" si="3"/>
        <v>3400030090</v>
      </c>
    </row>
    <row r="5">
      <c r="A5" s="11"/>
      <c r="B5" s="8"/>
      <c r="C5" s="33" t="s">
        <v>62</v>
      </c>
      <c r="D5" s="86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90</v>
      </c>
      <c r="AA5" s="26">
        <f t="array" ref="AA5">VLOOKUP($U5,$AF$3:$AN$5,7,0)</f>
        <v>87</v>
      </c>
      <c r="AB5" s="26">
        <f t="array" ref="AB5">VLOOKUP($U5,$AF$3:$AN$5,8,0)</f>
        <v>3</v>
      </c>
      <c r="AC5" s="26">
        <f t="array" ref="AC5">VLOOKUP($U5,$AF$3:$AN$5,9,0)</f>
        <v>34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7">
        <f t="array" ref="AJ5">SUM(('ТУР6'!home=AF5)*('ТУР6'!homescore&lt;'ТУР6'!visitorscore),('ТУР6'!visitor=AF5)*('ТУР6'!visitorscore&lt;'ТУР6'!homescore))</f>
        <v>10</v>
      </c>
      <c r="AK5" s="31">
        <f t="array" ref="AK5">SUMIF('ТУР6'!home,AF5,'ТУР6'!homescore)+SUMIF('ТУР6'!visitor,AF5,'ТУР6'!visitorscore)</f>
        <v>76</v>
      </c>
      <c r="AL5" s="32">
        <f t="array" ref="AL5">SUMIF('ТУР6'!home,AF5,'ТУР6'!visitorscore)+SUMIF('ТУР6'!visitor,AF5,'ТУР6'!homescore)</f>
        <v>84</v>
      </c>
      <c r="AM5" s="7">
        <f t="shared" si="2"/>
        <v>-8</v>
      </c>
      <c r="AN5" s="31">
        <f t="array" ref="AN5">AH5*Options!$B$2+AI5*Options!$B$3+AJ5*Options!$B$4+VLOOKUP(AF5,$E$4:$F$9,2,0)</f>
        <v>26</v>
      </c>
      <c r="AO5" s="11">
        <f t="shared" si="3"/>
        <v>2599920076</v>
      </c>
    </row>
    <row r="6">
      <c r="A6" s="11"/>
      <c r="B6" s="8"/>
      <c r="C6" s="33" t="s">
        <v>64</v>
      </c>
      <c r="D6" s="86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76</v>
      </c>
      <c r="AA6" s="26">
        <f t="array" ref="AA6">VLOOKUP($U6,$AF$3:$AN$5,7,0)</f>
        <v>84</v>
      </c>
      <c r="AB6" s="26">
        <f t="array" ref="AB6">VLOOKUP($U6,$AF$3:$AN$5,8,0)</f>
        <v>-8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Mentill</v>
      </c>
      <c r="F11" s="103" t="str">
        <f t="shared" ref="F11:F16" si="7">$E$5</f>
        <v>rasval</v>
      </c>
      <c r="G11" s="95">
        <f t="shared" ref="G11:G46" si="8">SUM(K11)</f>
        <v>4</v>
      </c>
      <c r="H11" s="97"/>
      <c r="I11" s="95">
        <f t="shared" ref="I11:I17" si="9">SUM(L11)</f>
        <v>4</v>
      </c>
      <c r="J11" s="97"/>
      <c r="K11" s="103">
        <v>4.0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Mentill  - (Англия) rasval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Mentill</v>
      </c>
      <c r="F12" s="103" t="str">
        <f t="shared" si="7"/>
        <v>rasval</v>
      </c>
      <c r="G12" s="95">
        <f t="shared" si="8"/>
        <v>3</v>
      </c>
      <c r="H12" s="97"/>
      <c r="I12" s="95">
        <f t="shared" si="9"/>
        <v>4</v>
      </c>
      <c r="J12" s="97"/>
      <c r="K12" s="103">
        <v>3.0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Mentill  - (Англия) rasval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Mentill</v>
      </c>
      <c r="F13" s="103" t="str">
        <f t="shared" si="7"/>
        <v>rasval</v>
      </c>
      <c r="G13" s="95">
        <f t="shared" si="8"/>
        <v>5</v>
      </c>
      <c r="H13" s="97"/>
      <c r="I13" s="95">
        <f t="shared" si="9"/>
        <v>4</v>
      </c>
      <c r="J13" s="97"/>
      <c r="K13" s="103">
        <v>5.0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Mentill  - (Англия) rasval</v>
      </c>
      <c r="V13" s="11" t="str">
        <f t="shared" si="11"/>
        <v>5:4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AKMAN</v>
      </c>
      <c r="F14" s="103" t="str">
        <f t="shared" si="7"/>
        <v>rasval</v>
      </c>
      <c r="G14" s="95">
        <f t="shared" si="8"/>
        <v>3</v>
      </c>
      <c r="H14" s="97"/>
      <c r="I14" s="95">
        <f t="shared" si="9"/>
        <v>0</v>
      </c>
      <c r="J14" s="97"/>
      <c r="K14" s="103">
        <v>3.0</v>
      </c>
      <c r="L14" s="103">
        <v>0.0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AKMAN  - (Англия) rasval</v>
      </c>
      <c r="V14" s="11" t="str">
        <f t="shared" si="11"/>
        <v>3:0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AKMAN</v>
      </c>
      <c r="F15" s="103" t="str">
        <f t="shared" si="7"/>
        <v>rasval</v>
      </c>
      <c r="G15" s="95">
        <f t="shared" si="8"/>
        <v>3</v>
      </c>
      <c r="H15" s="97"/>
      <c r="I15" s="95">
        <f t="shared" si="9"/>
        <v>4</v>
      </c>
      <c r="J15" s="97"/>
      <c r="K15" s="103">
        <v>3.0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AKMAN  - (Англия) rasval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AKMAN</v>
      </c>
      <c r="F16" s="103" t="str">
        <f t="shared" si="7"/>
        <v>rasval</v>
      </c>
      <c r="G16" s="95">
        <f t="shared" si="8"/>
        <v>4</v>
      </c>
      <c r="H16" s="97"/>
      <c r="I16" s="95">
        <f t="shared" si="9"/>
        <v>5</v>
      </c>
      <c r="J16" s="97"/>
      <c r="K16" s="103">
        <v>4.0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AKMAN  - (Англия) rasval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AKMAN</v>
      </c>
      <c r="F17" s="103" t="str">
        <f t="shared" ref="F17:F22" si="15">$E$4</f>
        <v>Mentill</v>
      </c>
      <c r="G17" s="95">
        <f t="shared" si="8"/>
        <v>3</v>
      </c>
      <c r="H17" s="97"/>
      <c r="I17" s="95">
        <f t="shared" si="9"/>
        <v>1</v>
      </c>
      <c r="J17" s="97"/>
      <c r="K17" s="26">
        <v>3.0</v>
      </c>
      <c r="L17" s="26">
        <v>1.0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AKMAN  - (Нидерланды) Mentill</v>
      </c>
      <c r="V17" s="11" t="str">
        <f t="shared" si="11"/>
        <v>3:1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AKMAN</v>
      </c>
      <c r="F18" s="103" t="str">
        <f t="shared" si="15"/>
        <v>Mentill</v>
      </c>
      <c r="G18" s="95">
        <f t="shared" si="8"/>
        <v>5</v>
      </c>
      <c r="H18" s="97"/>
      <c r="I18" s="95">
        <f t="shared" ref="I18:I22" si="16">SUM(L18,O18)</f>
        <v>3</v>
      </c>
      <c r="J18" s="97"/>
      <c r="K18" s="103">
        <v>5.0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AKMAN  - (Нидерланды) Mentill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AKMAN</v>
      </c>
      <c r="F19" s="103" t="str">
        <f t="shared" si="15"/>
        <v>Mentill</v>
      </c>
      <c r="G19" s="95">
        <f t="shared" si="8"/>
        <v>5</v>
      </c>
      <c r="H19" s="97"/>
      <c r="I19" s="95">
        <f t="shared" si="16"/>
        <v>4</v>
      </c>
      <c r="J19" s="97"/>
      <c r="K19" s="103">
        <v>5.0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AKMAN  - (Нидерланды) Mentill</v>
      </c>
      <c r="V19" s="11" t="str">
        <f t="shared" si="11"/>
        <v>5:4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rasval</v>
      </c>
      <c r="F20" s="103" t="str">
        <f t="shared" si="15"/>
        <v>Mentill</v>
      </c>
      <c r="G20" s="95">
        <f t="shared" si="8"/>
        <v>3</v>
      </c>
      <c r="H20" s="97"/>
      <c r="I20" s="95">
        <f t="shared" si="16"/>
        <v>1</v>
      </c>
      <c r="J20" s="97"/>
      <c r="K20" s="103">
        <v>3.0</v>
      </c>
      <c r="L20" s="103">
        <v>1.0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rasval  - (Нидерланды) Mentill</v>
      </c>
      <c r="V20" s="11" t="str">
        <f t="shared" si="11"/>
        <v>3:1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rasval</v>
      </c>
      <c r="F21" s="103" t="str">
        <f t="shared" si="15"/>
        <v>Mentill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rasval  - (Нидерланды) Mentill</v>
      </c>
      <c r="V21" s="11" t="str">
        <f t="shared" si="11"/>
        <v>4:4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rasval</v>
      </c>
      <c r="F22" s="103" t="str">
        <f t="shared" si="15"/>
        <v>Mentill</v>
      </c>
      <c r="G22" s="95">
        <f t="shared" si="8"/>
        <v>3</v>
      </c>
      <c r="H22" s="97"/>
      <c r="I22" s="95">
        <f t="shared" si="16"/>
        <v>4</v>
      </c>
      <c r="J22" s="97"/>
      <c r="K22" s="103">
        <v>3.0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rasval  - (Нидерланды) Mentill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rasval</v>
      </c>
      <c r="F23" s="103" t="str">
        <f t="shared" ref="F23:F28" si="20">$E$6</f>
        <v>AKMAN</v>
      </c>
      <c r="G23" s="95">
        <f t="shared" si="8"/>
        <v>3</v>
      </c>
      <c r="H23" s="97"/>
      <c r="I23" s="95">
        <f t="shared" ref="I23:I29" si="21">SUM(L23)</f>
        <v>4</v>
      </c>
      <c r="J23" s="97"/>
      <c r="K23" s="103">
        <v>3.0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rasval  - (Португалия) AKMAN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rasval</v>
      </c>
      <c r="F24" s="103" t="str">
        <f t="shared" si="20"/>
        <v>AKMAN</v>
      </c>
      <c r="G24" s="95">
        <f t="shared" si="8"/>
        <v>5</v>
      </c>
      <c r="H24" s="97"/>
      <c r="I24" s="95">
        <f t="shared" si="21"/>
        <v>3</v>
      </c>
      <c r="J24" s="97"/>
      <c r="K24" s="103">
        <v>5.0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rasval  - (Португалия) AKMAN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rasval</v>
      </c>
      <c r="F25" s="103" t="str">
        <f t="shared" si="20"/>
        <v>AKMAN</v>
      </c>
      <c r="G25" s="95">
        <f t="shared" si="8"/>
        <v>4</v>
      </c>
      <c r="H25" s="97"/>
      <c r="I25" s="95">
        <f t="shared" si="21"/>
        <v>2</v>
      </c>
      <c r="J25" s="97"/>
      <c r="K25" s="110">
        <v>4.0</v>
      </c>
      <c r="L25" s="110">
        <v>2.0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rasval  - (Португалия) AKMAN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Mentill</v>
      </c>
      <c r="F26" s="103" t="str">
        <f t="shared" si="20"/>
        <v>AKMAN</v>
      </c>
      <c r="G26" s="95">
        <f t="shared" si="8"/>
        <v>4</v>
      </c>
      <c r="H26" s="97"/>
      <c r="I26" s="95">
        <f t="shared" si="21"/>
        <v>2</v>
      </c>
      <c r="J26" s="97"/>
      <c r="K26" s="110">
        <v>4.0</v>
      </c>
      <c r="L26" s="110">
        <v>2.0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Mentill  - (Португалия) AKMAN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Mentill</v>
      </c>
      <c r="F27" s="103" t="str">
        <f t="shared" si="20"/>
        <v>AKMAN</v>
      </c>
      <c r="G27" s="95">
        <f t="shared" si="8"/>
        <v>3</v>
      </c>
      <c r="H27" s="97"/>
      <c r="I27" s="95">
        <f t="shared" si="21"/>
        <v>4</v>
      </c>
      <c r="J27" s="97"/>
      <c r="K27" s="110">
        <v>3.0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Mentill  - (Португалия) AKMAN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Mentill</v>
      </c>
      <c r="F28" s="103" t="str">
        <f t="shared" si="20"/>
        <v>AKMAN</v>
      </c>
      <c r="G28" s="95">
        <f t="shared" si="8"/>
        <v>0</v>
      </c>
      <c r="H28" s="97"/>
      <c r="I28" s="95">
        <f t="shared" si="21"/>
        <v>0</v>
      </c>
      <c r="J28" s="97"/>
      <c r="K28" s="103" t="s">
        <v>42</v>
      </c>
      <c r="L28" s="103" t="s">
        <v>42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Mentill  - (Португалия) AKMAN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Mentill</v>
      </c>
      <c r="F29" s="103" t="str">
        <f t="shared" ref="F29:F34" si="25">$E$5</f>
        <v>rasval</v>
      </c>
      <c r="G29" s="95">
        <f t="shared" si="8"/>
        <v>3</v>
      </c>
      <c r="H29" s="97"/>
      <c r="I29" s="95">
        <f t="shared" si="21"/>
        <v>3</v>
      </c>
      <c r="J29" s="95"/>
      <c r="K29" s="111">
        <v>3.0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Mentill  - (Англия) rasval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Mentill</v>
      </c>
      <c r="F30" s="103" t="str">
        <f t="shared" si="25"/>
        <v>rasval</v>
      </c>
      <c r="G30" s="95">
        <f t="shared" si="8"/>
        <v>3</v>
      </c>
      <c r="H30" s="97"/>
      <c r="I30" s="95">
        <f t="shared" ref="I30:I34" si="26">SUM(L30,O30)</f>
        <v>3</v>
      </c>
      <c r="J30" s="97"/>
      <c r="K30" s="103">
        <v>3.0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Mentill  - (Англия) rasval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Mentill</v>
      </c>
      <c r="F31" s="103" t="str">
        <f t="shared" si="25"/>
        <v>rasval</v>
      </c>
      <c r="G31" s="95">
        <f t="shared" si="8"/>
        <v>4</v>
      </c>
      <c r="H31" s="97"/>
      <c r="I31" s="95">
        <f t="shared" si="26"/>
        <v>4</v>
      </c>
      <c r="J31" s="97"/>
      <c r="K31" s="103">
        <v>4.0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Mentill  - (Англия) rasval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AKMAN</v>
      </c>
      <c r="F32" s="103" t="str">
        <f t="shared" si="25"/>
        <v>rasval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AKMAN  - (Англия) rasval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AKMAN</v>
      </c>
      <c r="F33" s="103" t="str">
        <f t="shared" si="25"/>
        <v>rasval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AKMAN  - (Англия) rasval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AKMAN</v>
      </c>
      <c r="F34" s="103" t="str">
        <f t="shared" si="25"/>
        <v>rasval</v>
      </c>
      <c r="G34" s="95">
        <f t="shared" si="8"/>
        <v>5</v>
      </c>
      <c r="H34" s="97"/>
      <c r="I34" s="95">
        <f t="shared" si="26"/>
        <v>5</v>
      </c>
      <c r="J34" s="97"/>
      <c r="K34" s="103">
        <v>5.0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AKMAN  - (Англия) rasval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AKMAN</v>
      </c>
      <c r="F35" s="103" t="str">
        <f t="shared" ref="F35:F40" si="30">$E$4</f>
        <v>Mentill</v>
      </c>
      <c r="G35" s="95">
        <f t="shared" si="8"/>
        <v>0</v>
      </c>
      <c r="H35" s="97"/>
      <c r="I35" s="95">
        <f t="shared" ref="I35:I46" si="31">SUM(L35)</f>
        <v>0</v>
      </c>
      <c r="J35" s="97"/>
      <c r="K35" s="103" t="s">
        <v>42</v>
      </c>
      <c r="L35" s="103" t="s">
        <v>42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AKMAN  - (Нидерланды) Mentill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AKMAN</v>
      </c>
      <c r="F36" s="103" t="str">
        <f t="shared" si="30"/>
        <v>Mentill</v>
      </c>
      <c r="G36" s="95">
        <f t="shared" si="8"/>
        <v>3</v>
      </c>
      <c r="H36" s="97"/>
      <c r="I36" s="95">
        <f t="shared" si="31"/>
        <v>4</v>
      </c>
      <c r="J36" s="97"/>
      <c r="K36" s="103">
        <v>3.0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AKMAN  - (Нидерланды) Mentill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AKMAN</v>
      </c>
      <c r="F37" s="103" t="str">
        <f t="shared" si="30"/>
        <v>Mentill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AKMAN  - (Нидерланды) Mentill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rasval</v>
      </c>
      <c r="F38" s="103" t="str">
        <f t="shared" si="30"/>
        <v>Mentill</v>
      </c>
      <c r="G38" s="95">
        <f t="shared" si="8"/>
        <v>4</v>
      </c>
      <c r="H38" s="11"/>
      <c r="I38" s="95">
        <f t="shared" si="31"/>
        <v>3</v>
      </c>
      <c r="J38" s="11"/>
      <c r="K38" s="103">
        <v>4.0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rasval  - (Нидерланды) Mentill</v>
      </c>
      <c r="V38" s="11" t="str">
        <f t="shared" si="11"/>
        <v>4:3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rasval</v>
      </c>
      <c r="F39" s="103" t="str">
        <f t="shared" si="30"/>
        <v>Mentill</v>
      </c>
      <c r="G39" s="95">
        <f t="shared" si="8"/>
        <v>2</v>
      </c>
      <c r="H39" s="11"/>
      <c r="I39" s="95">
        <f t="shared" si="31"/>
        <v>4</v>
      </c>
      <c r="J39" s="11"/>
      <c r="K39" s="103">
        <v>2.0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rasval  - (Нидерланды) Mentill</v>
      </c>
      <c r="V39" s="11" t="str">
        <f t="shared" si="11"/>
        <v>2:4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rasval</v>
      </c>
      <c r="F40" s="103" t="str">
        <f t="shared" si="30"/>
        <v>Mentill</v>
      </c>
      <c r="G40" s="95">
        <f t="shared" si="8"/>
        <v>4</v>
      </c>
      <c r="H40" s="11"/>
      <c r="I40" s="95">
        <f t="shared" si="31"/>
        <v>5</v>
      </c>
      <c r="J40" s="11"/>
      <c r="K40" s="103">
        <v>4.0</v>
      </c>
      <c r="L40" s="103">
        <v>5.0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rasval  - (Нидерланды) Mentill</v>
      </c>
      <c r="V40" s="11" t="str">
        <f t="shared" si="11"/>
        <v>4:5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rasval</v>
      </c>
      <c r="F41" s="103" t="str">
        <f t="shared" ref="F41:F46" si="35">$E$6</f>
        <v>AKMAN</v>
      </c>
      <c r="G41" s="95">
        <f t="shared" si="8"/>
        <v>5</v>
      </c>
      <c r="H41" s="11"/>
      <c r="I41" s="95">
        <f t="shared" si="31"/>
        <v>5</v>
      </c>
      <c r="J41" s="11"/>
      <c r="K41" s="103">
        <v>5.0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rasval  - (Португалия) AKMAN</v>
      </c>
      <c r="V41" s="11" t="str">
        <f t="shared" si="11"/>
        <v>5:5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rasval</v>
      </c>
      <c r="F42" s="103" t="str">
        <f t="shared" si="35"/>
        <v>AKMAN</v>
      </c>
      <c r="G42" s="95">
        <f t="shared" si="8"/>
        <v>4</v>
      </c>
      <c r="H42" s="11"/>
      <c r="I42" s="95">
        <f t="shared" si="31"/>
        <v>4</v>
      </c>
      <c r="J42" s="11"/>
      <c r="K42" s="103">
        <v>4.0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rasval  - (Португалия) AKMAN</v>
      </c>
      <c r="V42" s="11" t="str">
        <f t="shared" si="11"/>
        <v>4:4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rasval</v>
      </c>
      <c r="F43" s="103" t="str">
        <f t="shared" si="35"/>
        <v>AKMAN</v>
      </c>
      <c r="G43" s="95">
        <f t="shared" si="8"/>
        <v>5</v>
      </c>
      <c r="H43" s="11"/>
      <c r="I43" s="95">
        <f t="shared" si="31"/>
        <v>3</v>
      </c>
      <c r="J43" s="11"/>
      <c r="K43" s="103">
        <v>5.0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rasval  - (Португалия) AKMAN</v>
      </c>
      <c r="V43" s="11" t="str">
        <f t="shared" si="11"/>
        <v>5:3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Mentill</v>
      </c>
      <c r="F44" s="103" t="str">
        <f t="shared" si="35"/>
        <v>AKMAN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Mentill  - (Португалия) AKMAN</v>
      </c>
      <c r="V44" s="11" t="str">
        <f t="shared" si="11"/>
        <v>5:3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Mentill</v>
      </c>
      <c r="F45" s="103" t="str">
        <f t="shared" si="35"/>
        <v>AKMAN</v>
      </c>
      <c r="G45" s="95">
        <f t="shared" si="8"/>
        <v>4</v>
      </c>
      <c r="H45" s="11"/>
      <c r="I45" s="95">
        <f t="shared" si="31"/>
        <v>2</v>
      </c>
      <c r="J45" s="11"/>
      <c r="K45" s="103">
        <v>4.0</v>
      </c>
      <c r="L45" s="103">
        <v>2.0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Mentill  - (Португалия) AKMAN</v>
      </c>
      <c r="V45" s="11" t="str">
        <f t="shared" si="11"/>
        <v>4:2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Mentill</v>
      </c>
      <c r="F46" s="103" t="str">
        <f t="shared" si="35"/>
        <v>AKMAN</v>
      </c>
      <c r="G46" s="95">
        <f t="shared" si="8"/>
        <v>4</v>
      </c>
      <c r="H46" s="11"/>
      <c r="I46" s="95">
        <f t="shared" si="31"/>
        <v>1</v>
      </c>
      <c r="J46" s="11"/>
      <c r="K46" s="103">
        <v>4.0</v>
      </c>
      <c r="L46" s="103">
        <v>1.0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Mentill  - (Португалия) AKMAN</v>
      </c>
      <c r="V46" s="11" t="str">
        <f t="shared" si="11"/>
        <v>4:1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45719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45719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11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7">
        <f t="array" ref="AJ3">SUM(('ТУР7'!home=AF3)*('ТУР7'!homescore&lt;'ТУР7'!visitorscore),('ТУР7'!visitor=AF3)*('ТУР7'!visitorscore&lt;'ТУР7'!homescore))</f>
        <v>4</v>
      </c>
      <c r="AK3" s="31">
        <f t="array" ref="AK3">SUMIF('ТУР7'!home,AF3,'ТУР7'!homescore)+SUMIF('ТУР7'!visitor,AF3,'ТУР7'!visitorscore)</f>
        <v>88</v>
      </c>
      <c r="AL3" s="32">
        <f t="array" ref="AL3">SUMIF('ТУР7'!home,AF3,'ТУР7'!visitorscore)+SUMIF('ТУР7'!visitor,AF3,'ТУР7'!homescore)</f>
        <v>80</v>
      </c>
      <c r="AM3" s="7">
        <f t="shared" ref="AM3:AM5" si="2">AK3-AL3</f>
        <v>8</v>
      </c>
      <c r="AN3" s="31">
        <f t="array" ref="AN3">AH3*Options!$B$2+AI3*Options!$B$3+AJ3*Options!$B$4+VLOOKUP(AF3,$E$4:$F$9,2,0)</f>
        <v>42</v>
      </c>
      <c r="AO3" s="11">
        <f t="shared" ref="AO3:AO5" si="3">AK3+AM3*10000+AN3*100000000</f>
        <v>4200080088</v>
      </c>
    </row>
    <row r="4">
      <c r="A4" s="11"/>
      <c r="B4" s="8"/>
      <c r="C4" s="85" t="str">
        <f>'ТУР6'!$C$4</f>
        <v>Павел Г.</v>
      </c>
      <c r="D4" s="91" t="s">
        <v>51</v>
      </c>
      <c r="E4" s="85" t="str">
        <f>'ТУР6'!$E$4</f>
        <v>Mentill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9</v>
      </c>
      <c r="Y4" s="26">
        <f t="array" ref="Y4">VLOOKUP($U4,$AF$3:$AN$5,5,0)</f>
        <v>4</v>
      </c>
      <c r="Z4" s="26">
        <f t="array" ref="Z4">VLOOKUP($U4,$AF$3:$AN$5,6,0)</f>
        <v>88</v>
      </c>
      <c r="AA4" s="26">
        <f t="array" ref="AA4">VLOOKUP($U4,$AF$3:$AN$5,7,0)</f>
        <v>80</v>
      </c>
      <c r="AB4" s="26">
        <f t="array" ref="AB4">VLOOKUP($U4,$AF$3:$AN$5,8,0)</f>
        <v>8</v>
      </c>
      <c r="AC4" s="26">
        <f t="array" ref="AC4">VLOOKUP($U4,$AF$3:$AN$5,9,0)</f>
        <v>42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4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14</v>
      </c>
      <c r="AJ4" s="7">
        <f t="array" ref="AJ4">SUM(('ТУР7'!home=AF4)*('ТУР7'!homescore&lt;'ТУР7'!visitorscore),('ТУР7'!visitor=AF4)*('ТУР7'!visitorscore&lt;'ТУР7'!homescore))</f>
        <v>6</v>
      </c>
      <c r="AK4" s="31">
        <f t="array" ref="AK4">SUMIF('ТУР7'!home,AF4,'ТУР7'!homescore)+SUMIF('ТУР7'!visitor,AF4,'ТУР7'!visitorscore)</f>
        <v>77</v>
      </c>
      <c r="AL4" s="32">
        <f t="array" ref="AL4">SUMIF('ТУР7'!home,AF4,'ТУР7'!visitorscore)+SUMIF('ТУР7'!visitor,AF4,'ТУР7'!homescore)</f>
        <v>78</v>
      </c>
      <c r="AM4" s="7">
        <f t="shared" si="2"/>
        <v>-1</v>
      </c>
      <c r="AN4" s="31">
        <f t="array" ref="AN4">AH4*Options!$B$2+AI4*Options!$B$3+AJ4*Options!$B$4+VLOOKUP(AF4,$E$4:$F$9,2,0)</f>
        <v>26</v>
      </c>
      <c r="AO4" s="11">
        <f t="shared" si="3"/>
        <v>2599990077</v>
      </c>
    </row>
    <row r="5">
      <c r="A5" s="11"/>
      <c r="B5" s="8"/>
      <c r="C5" s="85" t="str">
        <f>'ТУР6'!$C$5</f>
        <v>Расуль В.</v>
      </c>
      <c r="D5" s="91" t="s">
        <v>46</v>
      </c>
      <c r="E5" s="85" t="str">
        <f>'ТУР6'!$E$5</f>
        <v>rasval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4</v>
      </c>
      <c r="X5" s="26">
        <f t="array" ref="X5">VLOOKUP($U5,$AF$3:$AN$5,4,0)</f>
        <v>14</v>
      </c>
      <c r="Y5" s="26">
        <f t="array" ref="Y5">VLOOKUP($U5,$AF$3:$AN$5,5,0)</f>
        <v>6</v>
      </c>
      <c r="Z5" s="26">
        <f t="array" ref="Z5">VLOOKUP($U5,$AF$3:$AN$5,6,0)</f>
        <v>77</v>
      </c>
      <c r="AA5" s="26">
        <f t="array" ref="AA5">VLOOKUP($U5,$AF$3:$AN$5,7,0)</f>
        <v>78</v>
      </c>
      <c r="AB5" s="26">
        <f t="array" ref="AB5">VLOOKUP($U5,$AF$3:$AN$5,8,0)</f>
        <v>-1</v>
      </c>
      <c r="AC5" s="26">
        <f t="array" ref="AC5">VLOOKUP($U5,$AF$3:$AN$5,9,0)</f>
        <v>26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2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15</v>
      </c>
      <c r="AJ5" s="7">
        <f t="array" ref="AJ5">SUM(('ТУР7'!home=AF5)*('ТУР7'!homescore&lt;'ТУР7'!visitorscore),('ТУР7'!visitor=AF5)*('ТУР7'!visitorscore&lt;'ТУР7'!homescore))</f>
        <v>7</v>
      </c>
      <c r="AK5" s="31">
        <f t="array" ref="AK5">SUMIF('ТУР7'!home,AF5,'ТУР7'!homescore)+SUMIF('ТУР7'!visitor,AF5,'ТУР7'!visitorscore)</f>
        <v>72</v>
      </c>
      <c r="AL5" s="32">
        <f t="array" ref="AL5">SUMIF('ТУР7'!home,AF5,'ТУР7'!visitorscore)+SUMIF('ТУР7'!visitor,AF5,'ТУР7'!homescore)</f>
        <v>79</v>
      </c>
      <c r="AM5" s="7">
        <f t="shared" si="2"/>
        <v>-7</v>
      </c>
      <c r="AN5" s="31">
        <f t="array" ref="AN5">AH5*Options!$B$2+AI5*Options!$B$3+AJ5*Options!$B$4+VLOOKUP(AF5,$E$4:$F$9,2,0)</f>
        <v>21</v>
      </c>
      <c r="AO5" s="11">
        <f t="shared" si="3"/>
        <v>2099930072</v>
      </c>
    </row>
    <row r="6">
      <c r="A6" s="11"/>
      <c r="B6" s="8"/>
      <c r="C6" s="85" t="str">
        <f>'ТУР6'!$C$6</f>
        <v>Тагир А.</v>
      </c>
      <c r="D6" s="91" t="s">
        <v>28</v>
      </c>
      <c r="E6" s="85" t="str">
        <f>'ТУР6'!$E$6</f>
        <v>AKMAN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15</v>
      </c>
      <c r="Y6" s="26">
        <f t="array" ref="Y6">VLOOKUP($U6,$AF$3:$AN$5,5,0)</f>
        <v>7</v>
      </c>
      <c r="Z6" s="26">
        <f t="array" ref="Z6">VLOOKUP($U6,$AF$3:$AN$5,6,0)</f>
        <v>72</v>
      </c>
      <c r="AA6" s="26">
        <f t="array" ref="AA6">VLOOKUP($U6,$AF$3:$AN$5,7,0)</f>
        <v>79</v>
      </c>
      <c r="AB6" s="26">
        <f t="array" ref="AB6">VLOOKUP($U6,$AF$3:$AN$5,8,0)</f>
        <v>-7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Mentill</v>
      </c>
      <c r="F11" s="103" t="str">
        <f t="shared" ref="F11:F16" si="7">$E$5</f>
        <v>rasval</v>
      </c>
      <c r="G11" s="95">
        <f t="shared" ref="G11:G46" si="8">SUM(K11)</f>
        <v>3</v>
      </c>
      <c r="H11" s="97"/>
      <c r="I11" s="95">
        <f t="shared" ref="I11:I17" si="9">SUM(L11)</f>
        <v>3</v>
      </c>
      <c r="J11" s="97"/>
      <c r="K11" s="103">
        <v>3.0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Mentill  - (Нидерланды) rasval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Mentill</v>
      </c>
      <c r="F12" s="103" t="str">
        <f t="shared" si="7"/>
        <v>rasval</v>
      </c>
      <c r="G12" s="95">
        <f t="shared" si="8"/>
        <v>3</v>
      </c>
      <c r="H12" s="97"/>
      <c r="I12" s="95">
        <f t="shared" si="9"/>
        <v>4</v>
      </c>
      <c r="J12" s="97"/>
      <c r="K12" s="103">
        <v>3.0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Mentill  - (Нидерланды) rasval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Mentill</v>
      </c>
      <c r="F13" s="103" t="str">
        <f t="shared" si="7"/>
        <v>rasval</v>
      </c>
      <c r="G13" s="95">
        <f t="shared" si="8"/>
        <v>2</v>
      </c>
      <c r="H13" s="97"/>
      <c r="I13" s="95">
        <f t="shared" si="9"/>
        <v>3</v>
      </c>
      <c r="J13" s="97"/>
      <c r="K13" s="103">
        <v>2.0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Mentill  - (Нидерланды) rasval</v>
      </c>
      <c r="V13" s="11" t="str">
        <f t="shared" si="11"/>
        <v>2:3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AKMAN</v>
      </c>
      <c r="F14" s="103" t="str">
        <f t="shared" si="7"/>
        <v>rasval</v>
      </c>
      <c r="G14" s="95">
        <f t="shared" si="8"/>
        <v>4</v>
      </c>
      <c r="H14" s="97"/>
      <c r="I14" s="95">
        <f t="shared" si="9"/>
        <v>3</v>
      </c>
      <c r="J14" s="97"/>
      <c r="K14" s="103">
        <v>4.0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AKMAN  - (Нидерланды) rasval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AKMAN</v>
      </c>
      <c r="F15" s="103" t="str">
        <f t="shared" si="7"/>
        <v>rasval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AKMAN  - (Нидерланды) rasval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AKMAN</v>
      </c>
      <c r="F16" s="103" t="str">
        <f t="shared" si="7"/>
        <v>rasval</v>
      </c>
      <c r="G16" s="95">
        <f t="shared" si="8"/>
        <v>0</v>
      </c>
      <c r="H16" s="97"/>
      <c r="I16" s="95">
        <f t="shared" si="9"/>
        <v>0</v>
      </c>
      <c r="J16" s="97"/>
      <c r="K16" s="103" t="s">
        <v>42</v>
      </c>
      <c r="L16" s="103" t="s">
        <v>42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AKMAN  - (Нидерланды) rasval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AKMAN</v>
      </c>
      <c r="F17" s="103" t="str">
        <f t="shared" ref="F17:F22" si="15">$E$4</f>
        <v>Mentill</v>
      </c>
      <c r="G17" s="95">
        <f t="shared" si="8"/>
        <v>4</v>
      </c>
      <c r="H17" s="97"/>
      <c r="I17" s="95">
        <f t="shared" si="9"/>
        <v>5</v>
      </c>
      <c r="J17" s="97"/>
      <c r="K17" s="26">
        <v>4.0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AKMAN  - (Испания) Mentill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AKMAN</v>
      </c>
      <c r="F18" s="103" t="str">
        <f t="shared" si="15"/>
        <v>Mentill</v>
      </c>
      <c r="G18" s="95">
        <f t="shared" si="8"/>
        <v>3</v>
      </c>
      <c r="H18" s="97"/>
      <c r="I18" s="95">
        <f t="shared" ref="I18:I22" si="16">SUM(L18,O18)</f>
        <v>4</v>
      </c>
      <c r="J18" s="97"/>
      <c r="K18" s="103">
        <v>3.0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AKMAN  - (Испания) Mentill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AKMAN</v>
      </c>
      <c r="F19" s="103" t="str">
        <f t="shared" si="15"/>
        <v>Mentill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AKMAN  - (Испания) Mentill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rasval</v>
      </c>
      <c r="F20" s="103" t="str">
        <f t="shared" si="15"/>
        <v>Mentill</v>
      </c>
      <c r="G20" s="95">
        <f t="shared" si="8"/>
        <v>5</v>
      </c>
      <c r="H20" s="97"/>
      <c r="I20" s="95">
        <f t="shared" si="16"/>
        <v>5</v>
      </c>
      <c r="J20" s="97"/>
      <c r="K20" s="103">
        <v>5.0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rasval  - (Испания) Mentill</v>
      </c>
      <c r="V20" s="11" t="str">
        <f t="shared" si="11"/>
        <v>5:5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rasval</v>
      </c>
      <c r="F21" s="103" t="str">
        <f t="shared" si="15"/>
        <v>Mentill</v>
      </c>
      <c r="G21" s="95">
        <f t="shared" si="8"/>
        <v>2</v>
      </c>
      <c r="H21" s="97"/>
      <c r="I21" s="95">
        <f t="shared" si="16"/>
        <v>4</v>
      </c>
      <c r="J21" s="97"/>
      <c r="K21" s="103">
        <v>2.0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rasval  - (Испания) Mentill</v>
      </c>
      <c r="V21" s="11" t="str">
        <f t="shared" si="11"/>
        <v>2:4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rasval</v>
      </c>
      <c r="F22" s="103" t="str">
        <f t="shared" si="15"/>
        <v>Mentill</v>
      </c>
      <c r="G22" s="95">
        <f t="shared" si="8"/>
        <v>4</v>
      </c>
      <c r="H22" s="97"/>
      <c r="I22" s="95">
        <f t="shared" si="16"/>
        <v>1</v>
      </c>
      <c r="J22" s="97"/>
      <c r="K22" s="103">
        <v>4.0</v>
      </c>
      <c r="L22" s="103">
        <v>1.0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rasval  - (Испания) Mentill</v>
      </c>
      <c r="V22" s="11" t="str">
        <f t="shared" si="11"/>
        <v>4:1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rasval</v>
      </c>
      <c r="F23" s="103" t="str">
        <f t="shared" ref="F23:F28" si="20">$E$6</f>
        <v>AKMAN</v>
      </c>
      <c r="G23" s="95">
        <f t="shared" si="8"/>
        <v>4</v>
      </c>
      <c r="H23" s="97"/>
      <c r="I23" s="95">
        <f t="shared" ref="I23:I29" si="21">SUM(L23)</f>
        <v>4</v>
      </c>
      <c r="J23" s="97"/>
      <c r="K23" s="103">
        <v>4.0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rasval  - (Германия) AKMAN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rasval</v>
      </c>
      <c r="F24" s="103" t="str">
        <f t="shared" si="20"/>
        <v>AKMAN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rasval  - (Германия) AKMAN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rasval</v>
      </c>
      <c r="F25" s="103" t="str">
        <f t="shared" si="20"/>
        <v>AKMAN</v>
      </c>
      <c r="G25" s="95">
        <f t="shared" si="8"/>
        <v>5</v>
      </c>
      <c r="H25" s="97"/>
      <c r="I25" s="95">
        <f t="shared" si="21"/>
        <v>3</v>
      </c>
      <c r="J25" s="97"/>
      <c r="K25" s="110">
        <v>5.0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rasval  - (Германия) AKMAN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Mentill</v>
      </c>
      <c r="F26" s="103" t="str">
        <f t="shared" si="20"/>
        <v>AKMAN</v>
      </c>
      <c r="G26" s="95">
        <f t="shared" si="8"/>
        <v>0</v>
      </c>
      <c r="H26" s="97"/>
      <c r="I26" s="95">
        <f t="shared" si="21"/>
        <v>0</v>
      </c>
      <c r="J26" s="97"/>
      <c r="K26" s="110" t="s">
        <v>42</v>
      </c>
      <c r="L26" s="110" t="s">
        <v>42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Mentill  - (Германия) AKMAN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Mentill</v>
      </c>
      <c r="F27" s="103" t="str">
        <f t="shared" si="20"/>
        <v>AKMAN</v>
      </c>
      <c r="G27" s="95">
        <f t="shared" si="8"/>
        <v>4</v>
      </c>
      <c r="H27" s="97"/>
      <c r="I27" s="95">
        <f t="shared" si="21"/>
        <v>4</v>
      </c>
      <c r="J27" s="97"/>
      <c r="K27" s="110">
        <v>4.0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Mentill  - (Германия) AKMAN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Mentill</v>
      </c>
      <c r="F28" s="103" t="str">
        <f t="shared" si="20"/>
        <v>AKMAN</v>
      </c>
      <c r="G28" s="95">
        <f t="shared" si="8"/>
        <v>4</v>
      </c>
      <c r="H28" s="97"/>
      <c r="I28" s="95">
        <f t="shared" si="21"/>
        <v>4</v>
      </c>
      <c r="J28" s="97"/>
      <c r="K28" s="103">
        <v>4.0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Mentill  - (Германия) AKMAN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Mentill</v>
      </c>
      <c r="F29" s="103" t="str">
        <f t="shared" ref="F29:F34" si="25">$E$5</f>
        <v>rasval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Mentill  - (Нидерланды) rasval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Mentill</v>
      </c>
      <c r="F30" s="103" t="str">
        <f t="shared" si="25"/>
        <v>rasval</v>
      </c>
      <c r="G30" s="95">
        <f t="shared" si="8"/>
        <v>4</v>
      </c>
      <c r="H30" s="97"/>
      <c r="I30" s="95">
        <f t="shared" ref="I30:I34" si="26">SUM(L30,O30)</f>
        <v>4</v>
      </c>
      <c r="J30" s="97"/>
      <c r="K30" s="103">
        <v>4.0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Mentill  - (Нидерланды) rasval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Mentill</v>
      </c>
      <c r="F31" s="103" t="str">
        <f t="shared" si="25"/>
        <v>rasval</v>
      </c>
      <c r="G31" s="95">
        <f t="shared" si="8"/>
        <v>5</v>
      </c>
      <c r="H31" s="97"/>
      <c r="I31" s="95">
        <f t="shared" si="26"/>
        <v>3</v>
      </c>
      <c r="J31" s="97"/>
      <c r="K31" s="103">
        <v>5.0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Mentill  - (Нидерланды) rasval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AKMAN</v>
      </c>
      <c r="F32" s="103" t="str">
        <f t="shared" si="25"/>
        <v>rasval</v>
      </c>
      <c r="G32" s="95">
        <f t="shared" si="8"/>
        <v>5</v>
      </c>
      <c r="H32" s="97"/>
      <c r="I32" s="95">
        <f t="shared" si="26"/>
        <v>5</v>
      </c>
      <c r="J32" s="97"/>
      <c r="K32" s="103">
        <v>5.0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AKMAN  - (Нидерланды) rasval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AKMAN</v>
      </c>
      <c r="F33" s="103" t="str">
        <f t="shared" si="25"/>
        <v>rasval</v>
      </c>
      <c r="G33" s="95">
        <f t="shared" si="8"/>
        <v>0</v>
      </c>
      <c r="H33" s="97"/>
      <c r="I33" s="95">
        <f t="shared" si="26"/>
        <v>0</v>
      </c>
      <c r="J33" s="97">
        <v>5.0</v>
      </c>
      <c r="K33" s="103" t="s">
        <v>42</v>
      </c>
      <c r="L33" s="103" t="s">
        <v>42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AKMAN  - (Нидерланды) rasval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AKMAN</v>
      </c>
      <c r="F34" s="103" t="str">
        <f t="shared" si="25"/>
        <v>rasval</v>
      </c>
      <c r="G34" s="95">
        <f t="shared" si="8"/>
        <v>2</v>
      </c>
      <c r="H34" s="97"/>
      <c r="I34" s="95">
        <f t="shared" si="26"/>
        <v>2</v>
      </c>
      <c r="J34" s="97"/>
      <c r="K34" s="103">
        <v>2.0</v>
      </c>
      <c r="L34" s="103">
        <v>2.0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AKMAN  - (Нидерланды) rasval</v>
      </c>
      <c r="V34" s="11" t="str">
        <f t="shared" si="11"/>
        <v>2:2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AKMAN</v>
      </c>
      <c r="F35" s="103" t="str">
        <f t="shared" ref="F35:F40" si="30">$E$4</f>
        <v>Mentill</v>
      </c>
      <c r="G35" s="95">
        <f t="shared" si="8"/>
        <v>2</v>
      </c>
      <c r="H35" s="97"/>
      <c r="I35" s="95">
        <f t="shared" ref="I35:I46" si="31">SUM(L35)</f>
        <v>3</v>
      </c>
      <c r="J35" s="97"/>
      <c r="K35" s="103">
        <v>2.0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AKMAN  - (Испания) Mentill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AKMAN</v>
      </c>
      <c r="F36" s="103" t="str">
        <f t="shared" si="30"/>
        <v>Mentill</v>
      </c>
      <c r="G36" s="95">
        <f t="shared" si="8"/>
        <v>4</v>
      </c>
      <c r="H36" s="97"/>
      <c r="I36" s="95">
        <f t="shared" si="31"/>
        <v>2</v>
      </c>
      <c r="J36" s="97"/>
      <c r="K36" s="103">
        <v>4.0</v>
      </c>
      <c r="L36" s="103">
        <v>2.0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AKMAN  - (Испания) Mentill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AKMAN</v>
      </c>
      <c r="F37" s="103" t="str">
        <f t="shared" si="30"/>
        <v>Mentill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AKMAN  - (Испания) Mentill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rasval</v>
      </c>
      <c r="F38" s="103" t="str">
        <f t="shared" si="30"/>
        <v>Mentill</v>
      </c>
      <c r="G38" s="95">
        <f t="shared" si="8"/>
        <v>4</v>
      </c>
      <c r="H38" s="11"/>
      <c r="I38" s="95">
        <f t="shared" si="31"/>
        <v>5</v>
      </c>
      <c r="J38" s="11"/>
      <c r="K38" s="103">
        <v>4.0</v>
      </c>
      <c r="L38" s="103">
        <v>5.0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rasval  - (Испания) Mentill</v>
      </c>
      <c r="V38" s="11" t="str">
        <f t="shared" si="11"/>
        <v>4:5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rasval</v>
      </c>
      <c r="F39" s="103" t="str">
        <f t="shared" si="30"/>
        <v>Mentill</v>
      </c>
      <c r="G39" s="95">
        <f t="shared" si="8"/>
        <v>3</v>
      </c>
      <c r="H39" s="11"/>
      <c r="I39" s="95">
        <f t="shared" si="31"/>
        <v>4</v>
      </c>
      <c r="J39" s="11"/>
      <c r="K39" s="103">
        <v>3.0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rasval  - (Испания) Mentill</v>
      </c>
      <c r="V39" s="11" t="str">
        <f t="shared" si="11"/>
        <v>3:4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rasval</v>
      </c>
      <c r="F40" s="103" t="str">
        <f t="shared" si="30"/>
        <v>Mentill</v>
      </c>
      <c r="G40" s="95">
        <f t="shared" si="8"/>
        <v>3</v>
      </c>
      <c r="H40" s="11"/>
      <c r="I40" s="95">
        <f t="shared" si="31"/>
        <v>4</v>
      </c>
      <c r="J40" s="11"/>
      <c r="K40" s="103">
        <v>3.0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rasval  - (Испания) Mentill</v>
      </c>
      <c r="V40" s="11" t="str">
        <f t="shared" si="11"/>
        <v>3:4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rasval</v>
      </c>
      <c r="F41" s="103" t="str">
        <f t="shared" ref="F41:F46" si="35">$E$6</f>
        <v>AKMAN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rasval  - (Германия) AKMAN</v>
      </c>
      <c r="V41" s="11" t="str">
        <f t="shared" si="11"/>
        <v>4:4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rasval</v>
      </c>
      <c r="F42" s="103" t="str">
        <f t="shared" si="35"/>
        <v>AKMAN</v>
      </c>
      <c r="G42" s="95">
        <f t="shared" si="8"/>
        <v>0</v>
      </c>
      <c r="H42" s="11"/>
      <c r="I42" s="95">
        <f t="shared" si="31"/>
        <v>0</v>
      </c>
      <c r="J42" s="11"/>
      <c r="K42" s="103" t="s">
        <v>42</v>
      </c>
      <c r="L42" s="103" t="s">
        <v>42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rasval  - (Германия) AKMAN</v>
      </c>
      <c r="V42" s="11" t="str">
        <f t="shared" si="11"/>
        <v>0:0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rasval</v>
      </c>
      <c r="F43" s="103" t="str">
        <f t="shared" si="35"/>
        <v>AKMAN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rasval  - (Германия) AKMAN</v>
      </c>
      <c r="V43" s="11" t="str">
        <f t="shared" si="11"/>
        <v>4:4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Mentill</v>
      </c>
      <c r="F44" s="103" t="str">
        <f t="shared" si="35"/>
        <v>AKMAN</v>
      </c>
      <c r="G44" s="95">
        <f t="shared" si="8"/>
        <v>4</v>
      </c>
      <c r="H44" s="11"/>
      <c r="I44" s="95">
        <f t="shared" si="31"/>
        <v>2</v>
      </c>
      <c r="J44" s="11"/>
      <c r="K44" s="103">
        <v>4.0</v>
      </c>
      <c r="L44" s="103">
        <v>2.0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Mentill  - (Германия) AKMAN</v>
      </c>
      <c r="V44" s="11" t="str">
        <f t="shared" si="11"/>
        <v>4:2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Mentill</v>
      </c>
      <c r="F45" s="103" t="str">
        <f t="shared" si="35"/>
        <v>AKMAN</v>
      </c>
      <c r="G45" s="95">
        <f t="shared" si="8"/>
        <v>4</v>
      </c>
      <c r="H45" s="11"/>
      <c r="I45" s="95">
        <f t="shared" si="31"/>
        <v>2</v>
      </c>
      <c r="J45" s="11"/>
      <c r="K45" s="103">
        <v>4.0</v>
      </c>
      <c r="L45" s="103">
        <v>2.0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Mentill  - (Германия) AKMAN</v>
      </c>
      <c r="V45" s="11" t="str">
        <f t="shared" si="11"/>
        <v>4:2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Mentill</v>
      </c>
      <c r="F46" s="103" t="str">
        <f t="shared" si="35"/>
        <v>AKMAN</v>
      </c>
      <c r="G46" s="95">
        <f t="shared" si="8"/>
        <v>5</v>
      </c>
      <c r="H46" s="11"/>
      <c r="I46" s="95">
        <f t="shared" si="31"/>
        <v>5</v>
      </c>
      <c r="J46" s="11"/>
      <c r="K46" s="103">
        <v>5.0</v>
      </c>
      <c r="L46" s="103">
        <v>5.0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Mentill  - (Германия) AKMAN</v>
      </c>
      <c r="V46" s="11" t="str">
        <f t="shared" si="11"/>
        <v>5:5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45719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45719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6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7">
        <f t="array" ref="AJ3">SUM(('ТУР8'!home=AF3)*('ТУР8'!homescore&lt;'ТУР8'!visitorscore),('ТУР8'!visitor=AF3)*('ТУР8'!visitorscore&lt;'ТУР8'!homescore))</f>
        <v>7</v>
      </c>
      <c r="AK3" s="31">
        <f t="array" ref="AK3">SUMIF('ТУР8'!home,AF3,'ТУР8'!homescore)+SUMIF('ТУР8'!visitor,AF3,'ТУР8'!visitorscore)</f>
        <v>74</v>
      </c>
      <c r="AL3" s="32">
        <f t="array" ref="AL3">SUMIF('ТУР8'!home,AF3,'ТУР8'!visitorscore)+SUMIF('ТУР8'!visitor,AF3,'ТУР8'!homescore)</f>
        <v>77</v>
      </c>
      <c r="AM3" s="7">
        <f t="shared" ref="AM3:AM5" si="2">AK3-AL3</f>
        <v>-3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2899970074</v>
      </c>
    </row>
    <row r="4">
      <c r="A4" s="11"/>
      <c r="B4" s="8"/>
      <c r="C4" s="85" t="str">
        <f>'ТУР6'!$C$4</f>
        <v>Павел Г.</v>
      </c>
      <c r="D4" s="91" t="s">
        <v>25</v>
      </c>
      <c r="E4" s="85" t="str">
        <f>'ТУР6'!$E$4</f>
        <v>Mentill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82</v>
      </c>
      <c r="AA4" s="26">
        <f t="array" ref="AA4">VLOOKUP($U4,$AF$3:$AN$5,7,0)</f>
        <v>71</v>
      </c>
      <c r="AB4" s="26">
        <f t="array" ref="AB4">VLOOKUP($U4,$AF$3:$AN$5,8,0)</f>
        <v>11</v>
      </c>
      <c r="AC4" s="26">
        <f t="array" ref="AC4">VLOOKUP($U4,$AF$3:$AN$5,9,0)</f>
        <v>41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11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7">
        <f t="array" ref="AJ4">SUM(('ТУР8'!home=AF4)*('ТУР8'!homescore&lt;'ТУР8'!visitorscore),('ТУР8'!visitor=AF4)*('ТУР8'!visitorscore&lt;'ТУР8'!homescore))</f>
        <v>5</v>
      </c>
      <c r="AK4" s="31">
        <f t="array" ref="AK4">SUMIF('ТУР8'!home,AF4,'ТУР8'!homescore)+SUMIF('ТУР8'!visitor,AF4,'ТУР8'!visitorscore)</f>
        <v>82</v>
      </c>
      <c r="AL4" s="32">
        <f t="array" ref="AL4">SUMIF('ТУР8'!home,AF4,'ТУР8'!visitorscore)+SUMIF('ТУР8'!visitor,AF4,'ТУР8'!homescore)</f>
        <v>71</v>
      </c>
      <c r="AM4" s="7">
        <f t="shared" si="2"/>
        <v>11</v>
      </c>
      <c r="AN4" s="31">
        <f t="array" ref="AN4">AH4*Options!$B$2+AI4*Options!$B$3+AJ4*Options!$B$4+VLOOKUP(AF4,$E$4:$F$9,2,0)</f>
        <v>41</v>
      </c>
      <c r="AO4" s="11">
        <f t="shared" si="3"/>
        <v>4100110082</v>
      </c>
    </row>
    <row r="5">
      <c r="A5" s="11"/>
      <c r="B5" s="8"/>
      <c r="C5" s="85" t="str">
        <f>'ТУР6'!$C$5</f>
        <v>Расуль В.</v>
      </c>
      <c r="D5" s="91" t="s">
        <v>48</v>
      </c>
      <c r="E5" s="85" t="str">
        <f>'ТУР6'!$E$5</f>
        <v>rasval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74</v>
      </c>
      <c r="AA5" s="26">
        <f t="array" ref="AA5">VLOOKUP($U5,$AF$3:$AN$5,7,0)</f>
        <v>77</v>
      </c>
      <c r="AB5" s="26">
        <f t="array" ref="AB5">VLOOKUP($U5,$AF$3:$AN$5,8,0)</f>
        <v>-3</v>
      </c>
      <c r="AC5" s="26">
        <f t="array" ref="AC5">VLOOKUP($U5,$AF$3:$AN$5,9,0)</f>
        <v>29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3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13</v>
      </c>
      <c r="AJ5" s="7">
        <f t="array" ref="AJ5">SUM(('ТУР8'!home=AF5)*('ТУР8'!homescore&lt;'ТУР8'!visitorscore),('ТУР8'!visitor=AF5)*('ТУР8'!visitorscore&lt;'ТУР8'!homescore))</f>
        <v>8</v>
      </c>
      <c r="AK5" s="31">
        <f t="array" ref="AK5">SUMIF('ТУР8'!home,AF5,'ТУР8'!homescore)+SUMIF('ТУР8'!visitor,AF5,'ТУР8'!visitorscore)</f>
        <v>65</v>
      </c>
      <c r="AL5" s="32">
        <f t="array" ref="AL5">SUMIF('ТУР8'!home,AF5,'ТУР8'!visitorscore)+SUMIF('ТУР8'!visitor,AF5,'ТУР8'!homescore)</f>
        <v>73</v>
      </c>
      <c r="AM5" s="7">
        <f t="shared" si="2"/>
        <v>-8</v>
      </c>
      <c r="AN5" s="31">
        <f t="array" ref="AN5">AH5*Options!$B$2+AI5*Options!$B$3+AJ5*Options!$B$4+VLOOKUP(AF5,$E$4:$F$9,2,0)</f>
        <v>22</v>
      </c>
      <c r="AO5" s="11">
        <f t="shared" si="3"/>
        <v>2199920065</v>
      </c>
    </row>
    <row r="6">
      <c r="A6" s="11"/>
      <c r="B6" s="8"/>
      <c r="C6" s="85" t="str">
        <f>'ТУР6'!$C$6</f>
        <v>Тагир А.</v>
      </c>
      <c r="D6" s="91" t="s">
        <v>31</v>
      </c>
      <c r="E6" s="85" t="str">
        <f>'ТУР6'!$E$6</f>
        <v>AKMAN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13</v>
      </c>
      <c r="Y6" s="26">
        <f t="array" ref="Y6">VLOOKUP($U6,$AF$3:$AN$5,5,0)</f>
        <v>8</v>
      </c>
      <c r="Z6" s="26">
        <f t="array" ref="Z6">VLOOKUP($U6,$AF$3:$AN$5,6,0)</f>
        <v>65</v>
      </c>
      <c r="AA6" s="26">
        <f t="array" ref="AA6">VLOOKUP($U6,$AF$3:$AN$5,7,0)</f>
        <v>73</v>
      </c>
      <c r="AB6" s="26">
        <f t="array" ref="AB6">VLOOKUP($U6,$AF$3:$AN$5,8,0)</f>
        <v>-8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Mentill</v>
      </c>
      <c r="F11" s="103" t="str">
        <f t="shared" ref="F11:F16" si="7">$E$5</f>
        <v>rasval</v>
      </c>
      <c r="G11" s="95">
        <f t="shared" ref="G11:G46" si="8">SUM(K11)</f>
        <v>5</v>
      </c>
      <c r="H11" s="97"/>
      <c r="I11" s="95">
        <f t="shared" ref="I11:I17" si="9">SUM(L11)</f>
        <v>3</v>
      </c>
      <c r="J11" s="97"/>
      <c r="K11" s="103">
        <v>5.0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Mentill  - (Португалия) rasval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Mentill</v>
      </c>
      <c r="F12" s="103" t="str">
        <f t="shared" si="7"/>
        <v>rasval</v>
      </c>
      <c r="G12" s="95">
        <f t="shared" si="8"/>
        <v>2</v>
      </c>
      <c r="H12" s="97"/>
      <c r="I12" s="95">
        <f t="shared" si="9"/>
        <v>4</v>
      </c>
      <c r="J12" s="97"/>
      <c r="K12" s="103">
        <v>2.0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Mentill  - (Португалия) rasval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Mentill</v>
      </c>
      <c r="F13" s="103" t="str">
        <f t="shared" si="7"/>
        <v>rasval</v>
      </c>
      <c r="G13" s="95">
        <f t="shared" si="8"/>
        <v>4</v>
      </c>
      <c r="H13" s="97"/>
      <c r="I13" s="95">
        <f t="shared" si="9"/>
        <v>5</v>
      </c>
      <c r="J13" s="97"/>
      <c r="K13" s="103">
        <v>4.0</v>
      </c>
      <c r="L13" s="103">
        <v>5.0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Mentill  - (Португалия) rasval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AKMAN</v>
      </c>
      <c r="F14" s="103" t="str">
        <f t="shared" si="7"/>
        <v>rasval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AKMAN  - (Португалия) rasval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AKMAN</v>
      </c>
      <c r="F15" s="103" t="str">
        <f t="shared" si="7"/>
        <v>rasval</v>
      </c>
      <c r="G15" s="95">
        <f t="shared" si="8"/>
        <v>4</v>
      </c>
      <c r="H15" s="97"/>
      <c r="I15" s="95">
        <f t="shared" si="9"/>
        <v>3</v>
      </c>
      <c r="J15" s="97"/>
      <c r="K15" s="103">
        <v>4.0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AKMAN  - (Португалия) rasval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AKMAN</v>
      </c>
      <c r="F16" s="103" t="str">
        <f t="shared" si="7"/>
        <v>rasval</v>
      </c>
      <c r="G16" s="95">
        <f t="shared" si="8"/>
        <v>0</v>
      </c>
      <c r="H16" s="97"/>
      <c r="I16" s="95">
        <f t="shared" si="9"/>
        <v>0</v>
      </c>
      <c r="J16" s="97"/>
      <c r="K16" s="103" t="s">
        <v>42</v>
      </c>
      <c r="L16" s="103" t="s">
        <v>42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AKMAN  - (Португалия) rasval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AKMAN</v>
      </c>
      <c r="F17" s="103" t="str">
        <f t="shared" ref="F17:F22" si="15">$E$4</f>
        <v>Mentill</v>
      </c>
      <c r="G17" s="95">
        <f t="shared" si="8"/>
        <v>4</v>
      </c>
      <c r="H17" s="97"/>
      <c r="I17" s="95">
        <f t="shared" si="9"/>
        <v>4</v>
      </c>
      <c r="J17" s="97"/>
      <c r="K17" s="26">
        <v>4.0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AKMAN  - (Италия) Mentill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AKMAN</v>
      </c>
      <c r="F18" s="103" t="str">
        <f t="shared" si="15"/>
        <v>Mentill</v>
      </c>
      <c r="G18" s="95">
        <f t="shared" si="8"/>
        <v>4</v>
      </c>
      <c r="H18" s="97"/>
      <c r="I18" s="95">
        <f t="shared" ref="I18:I22" si="16">SUM(L18,O18)</f>
        <v>2</v>
      </c>
      <c r="J18" s="97"/>
      <c r="K18" s="103">
        <v>4.0</v>
      </c>
      <c r="L18" s="103">
        <v>2.0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AKMAN  - (Италия) Mentill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AKMAN</v>
      </c>
      <c r="F19" s="103" t="str">
        <f t="shared" si="15"/>
        <v>Mentill</v>
      </c>
      <c r="G19" s="95">
        <f t="shared" si="8"/>
        <v>4</v>
      </c>
      <c r="H19" s="97"/>
      <c r="I19" s="95">
        <f t="shared" si="16"/>
        <v>4</v>
      </c>
      <c r="J19" s="97"/>
      <c r="K19" s="103">
        <v>4.0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AKMAN  - (Италия) Mentill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rasval</v>
      </c>
      <c r="F20" s="103" t="str">
        <f t="shared" si="15"/>
        <v>Mentill</v>
      </c>
      <c r="G20" s="95">
        <f t="shared" si="8"/>
        <v>3</v>
      </c>
      <c r="H20" s="97"/>
      <c r="I20" s="95">
        <f t="shared" si="16"/>
        <v>3</v>
      </c>
      <c r="J20" s="97"/>
      <c r="K20" s="103">
        <v>3.0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rasval  - (Италия) Mentill</v>
      </c>
      <c r="V20" s="11" t="str">
        <f t="shared" si="11"/>
        <v>3:3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rasval</v>
      </c>
      <c r="F21" s="103" t="str">
        <f t="shared" si="15"/>
        <v>Mentill</v>
      </c>
      <c r="G21" s="95">
        <f t="shared" si="8"/>
        <v>2</v>
      </c>
      <c r="H21" s="97"/>
      <c r="I21" s="95">
        <f t="shared" si="16"/>
        <v>3</v>
      </c>
      <c r="J21" s="97"/>
      <c r="K21" s="103">
        <v>2.0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rasval  - (Италия) Mentill</v>
      </c>
      <c r="V21" s="11" t="str">
        <f t="shared" si="11"/>
        <v>2:3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rasval</v>
      </c>
      <c r="F22" s="103" t="str">
        <f t="shared" si="15"/>
        <v>Mentill</v>
      </c>
      <c r="G22" s="95">
        <f t="shared" si="8"/>
        <v>4</v>
      </c>
      <c r="H22" s="97"/>
      <c r="I22" s="95">
        <f t="shared" si="16"/>
        <v>2</v>
      </c>
      <c r="J22" s="97"/>
      <c r="K22" s="103">
        <v>4.0</v>
      </c>
      <c r="L22" s="103">
        <v>2.0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rasval  - (Италия) Mentill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rasval</v>
      </c>
      <c r="F23" s="103" t="str">
        <f t="shared" ref="F23:F28" si="20">$E$6</f>
        <v>AKMAN</v>
      </c>
      <c r="G23" s="95">
        <f t="shared" si="8"/>
        <v>4</v>
      </c>
      <c r="H23" s="97"/>
      <c r="I23" s="95">
        <f t="shared" ref="I23:I29" si="21">SUM(L23)</f>
        <v>2</v>
      </c>
      <c r="J23" s="97"/>
      <c r="K23" s="103">
        <v>4.0</v>
      </c>
      <c r="L23" s="103">
        <v>2.0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rasval  - (Аргентина) AKMAN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rasval</v>
      </c>
      <c r="F24" s="103" t="str">
        <f t="shared" si="20"/>
        <v>AKMAN</v>
      </c>
      <c r="G24" s="95">
        <f t="shared" si="8"/>
        <v>5</v>
      </c>
      <c r="H24" s="97"/>
      <c r="I24" s="95">
        <f t="shared" si="21"/>
        <v>3</v>
      </c>
      <c r="J24" s="97"/>
      <c r="K24" s="103">
        <v>5.0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rasval  - (Аргентина) AKMAN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rasval</v>
      </c>
      <c r="F25" s="103" t="str">
        <f t="shared" si="20"/>
        <v>AKMAN</v>
      </c>
      <c r="G25" s="95">
        <f t="shared" si="8"/>
        <v>4</v>
      </c>
      <c r="H25" s="97"/>
      <c r="I25" s="95">
        <f t="shared" si="21"/>
        <v>1</v>
      </c>
      <c r="J25" s="97"/>
      <c r="K25" s="110">
        <v>4.0</v>
      </c>
      <c r="L25" s="110">
        <v>1.0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rasval  - (Аргентина) AKMAN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Mentill</v>
      </c>
      <c r="F26" s="103" t="str">
        <f t="shared" si="20"/>
        <v>AKMAN</v>
      </c>
      <c r="G26" s="95">
        <f t="shared" si="8"/>
        <v>3</v>
      </c>
      <c r="H26" s="97"/>
      <c r="I26" s="95">
        <f t="shared" si="21"/>
        <v>3</v>
      </c>
      <c r="J26" s="97"/>
      <c r="K26" s="110">
        <v>3.0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Mentill  - (Аргентина) AKMAN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Mentill</v>
      </c>
      <c r="F27" s="103" t="str">
        <f t="shared" si="20"/>
        <v>AKMAN</v>
      </c>
      <c r="G27" s="95">
        <f t="shared" si="8"/>
        <v>4</v>
      </c>
      <c r="H27" s="97"/>
      <c r="I27" s="95">
        <f t="shared" si="21"/>
        <v>4</v>
      </c>
      <c r="J27" s="97"/>
      <c r="K27" s="110">
        <v>4.0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Mentill  - (Аргентина) AKMAN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Mentill</v>
      </c>
      <c r="F28" s="103" t="str">
        <f t="shared" si="20"/>
        <v>AKMAN</v>
      </c>
      <c r="G28" s="95">
        <f t="shared" si="8"/>
        <v>0</v>
      </c>
      <c r="H28" s="97"/>
      <c r="I28" s="95">
        <f t="shared" si="21"/>
        <v>0</v>
      </c>
      <c r="J28" s="97"/>
      <c r="K28" s="103" t="s">
        <v>42</v>
      </c>
      <c r="L28" s="103" t="s">
        <v>42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Mentill  - (Аргентина) AKMAN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Mentill</v>
      </c>
      <c r="F29" s="103" t="str">
        <f t="shared" ref="F29:F34" si="25">$E$5</f>
        <v>rasval</v>
      </c>
      <c r="G29" s="95">
        <f t="shared" si="8"/>
        <v>4</v>
      </c>
      <c r="H29" s="97"/>
      <c r="I29" s="95">
        <f t="shared" si="21"/>
        <v>5</v>
      </c>
      <c r="J29" s="95"/>
      <c r="K29" s="111">
        <v>4.0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Mentill  - (Португалия) rasval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Mentill</v>
      </c>
      <c r="F30" s="103" t="str">
        <f t="shared" si="25"/>
        <v>rasval</v>
      </c>
      <c r="G30" s="95">
        <f t="shared" si="8"/>
        <v>2</v>
      </c>
      <c r="H30" s="97"/>
      <c r="I30" s="95">
        <f t="shared" ref="I30:I34" si="26">SUM(L30,O30)</f>
        <v>4</v>
      </c>
      <c r="J30" s="97"/>
      <c r="K30" s="103">
        <v>2.0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Mentill  - (Португалия) rasval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Mentill</v>
      </c>
      <c r="F31" s="103" t="str">
        <f t="shared" si="25"/>
        <v>rasval</v>
      </c>
      <c r="G31" s="95">
        <f t="shared" si="8"/>
        <v>5</v>
      </c>
      <c r="H31" s="97"/>
      <c r="I31" s="95">
        <f t="shared" si="26"/>
        <v>3</v>
      </c>
      <c r="J31" s="97"/>
      <c r="K31" s="103">
        <v>5.0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Mentill  - (Португалия) rasval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AKMAN</v>
      </c>
      <c r="F32" s="103" t="str">
        <f t="shared" si="25"/>
        <v>rasval</v>
      </c>
      <c r="G32" s="95">
        <f t="shared" si="8"/>
        <v>2</v>
      </c>
      <c r="H32" s="97"/>
      <c r="I32" s="95">
        <f t="shared" si="26"/>
        <v>3</v>
      </c>
      <c r="J32" s="97"/>
      <c r="K32" s="103">
        <v>2.0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AKMAN  - (Португалия) rasval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AKMAN</v>
      </c>
      <c r="F33" s="103" t="str">
        <f t="shared" si="25"/>
        <v>rasval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AKMAN  - (Португалия) rasval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AKMAN</v>
      </c>
      <c r="F34" s="103" t="str">
        <f t="shared" si="25"/>
        <v>rasval</v>
      </c>
      <c r="G34" s="95">
        <f t="shared" si="8"/>
        <v>4</v>
      </c>
      <c r="H34" s="97"/>
      <c r="I34" s="95">
        <f t="shared" si="26"/>
        <v>5</v>
      </c>
      <c r="J34" s="97"/>
      <c r="K34" s="103">
        <v>4.0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AKMAN  - (Португалия) rasval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AKMAN</v>
      </c>
      <c r="F35" s="103" t="str">
        <f t="shared" ref="F35:F40" si="30">$E$4</f>
        <v>Mentill</v>
      </c>
      <c r="G35" s="95">
        <f t="shared" si="8"/>
        <v>4</v>
      </c>
      <c r="H35" s="97"/>
      <c r="I35" s="95">
        <f t="shared" ref="I35:I46" si="31">SUM(L35)</f>
        <v>5</v>
      </c>
      <c r="J35" s="97"/>
      <c r="K35" s="103">
        <v>4.0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AKMAN  - (Италия) Mentill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AKMAN</v>
      </c>
      <c r="F36" s="103" t="str">
        <f t="shared" si="30"/>
        <v>Mentill</v>
      </c>
      <c r="G36" s="95">
        <f t="shared" si="8"/>
        <v>3</v>
      </c>
      <c r="H36" s="97"/>
      <c r="I36" s="95">
        <f t="shared" si="31"/>
        <v>4</v>
      </c>
      <c r="J36" s="97"/>
      <c r="K36" s="103">
        <v>3.0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AKMAN  - (Италия) Mentill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AKMAN</v>
      </c>
      <c r="F37" s="103" t="str">
        <f t="shared" si="30"/>
        <v>Mentill</v>
      </c>
      <c r="G37" s="95">
        <f t="shared" si="8"/>
        <v>0</v>
      </c>
      <c r="H37" s="97"/>
      <c r="I37" s="95">
        <f t="shared" si="31"/>
        <v>0</v>
      </c>
      <c r="J37" s="97"/>
      <c r="K37" s="103" t="s">
        <v>42</v>
      </c>
      <c r="L37" s="103" t="s">
        <v>42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AKMAN  - (Италия) Mentill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rasval</v>
      </c>
      <c r="F38" s="103" t="str">
        <f t="shared" si="30"/>
        <v>Mentill</v>
      </c>
      <c r="G38" s="95">
        <f t="shared" si="8"/>
        <v>4</v>
      </c>
      <c r="H38" s="11"/>
      <c r="I38" s="95">
        <f t="shared" si="31"/>
        <v>2</v>
      </c>
      <c r="J38" s="11"/>
      <c r="K38" s="103">
        <v>4.0</v>
      </c>
      <c r="L38" s="103">
        <v>2.0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rasval  - (Италия) Mentill</v>
      </c>
      <c r="V38" s="11" t="str">
        <f t="shared" si="11"/>
        <v>4:2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rasval</v>
      </c>
      <c r="F39" s="103" t="str">
        <f t="shared" si="30"/>
        <v>Mentill</v>
      </c>
      <c r="G39" s="95">
        <f t="shared" si="8"/>
        <v>3</v>
      </c>
      <c r="H39" s="11"/>
      <c r="I39" s="95">
        <f t="shared" si="31"/>
        <v>3</v>
      </c>
      <c r="J39" s="11"/>
      <c r="K39" s="103">
        <v>3.0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rasval  - (Италия) Mentill</v>
      </c>
      <c r="V39" s="11" t="str">
        <f t="shared" si="11"/>
        <v>3:3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rasval</v>
      </c>
      <c r="F40" s="103" t="str">
        <f t="shared" si="30"/>
        <v>Mentill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rasval  - (Италия) Mentill</v>
      </c>
      <c r="V40" s="11" t="str">
        <f t="shared" si="11"/>
        <v>4:4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rasval</v>
      </c>
      <c r="F41" s="103" t="str">
        <f t="shared" ref="F41:F46" si="35">$E$6</f>
        <v>AKMAN</v>
      </c>
      <c r="G41" s="95">
        <f t="shared" si="8"/>
        <v>1</v>
      </c>
      <c r="H41" s="11"/>
      <c r="I41" s="95">
        <f t="shared" si="31"/>
        <v>3</v>
      </c>
      <c r="J41" s="11"/>
      <c r="K41" s="103">
        <v>1.0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rasval  - (Аргентина) AKMAN</v>
      </c>
      <c r="V41" s="11" t="str">
        <f t="shared" si="11"/>
        <v>1:3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rasval</v>
      </c>
      <c r="F42" s="103" t="str">
        <f t="shared" si="35"/>
        <v>AKMAN</v>
      </c>
      <c r="G42" s="95">
        <f t="shared" si="8"/>
        <v>2</v>
      </c>
      <c r="H42" s="11"/>
      <c r="I42" s="95">
        <f t="shared" si="31"/>
        <v>2</v>
      </c>
      <c r="J42" s="11"/>
      <c r="K42" s="103">
        <v>2.0</v>
      </c>
      <c r="L42" s="103">
        <v>2.0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rasval  - (Аргентина) AKMAN</v>
      </c>
      <c r="V42" s="11" t="str">
        <f t="shared" si="11"/>
        <v>2:2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rasval</v>
      </c>
      <c r="F43" s="103" t="str">
        <f t="shared" si="35"/>
        <v>AKMAN</v>
      </c>
      <c r="G43" s="95">
        <f t="shared" si="8"/>
        <v>3</v>
      </c>
      <c r="H43" s="11"/>
      <c r="I43" s="95">
        <f t="shared" si="31"/>
        <v>3</v>
      </c>
      <c r="J43" s="11"/>
      <c r="K43" s="103">
        <v>3.0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rasval  - (Аргентина) AKMAN</v>
      </c>
      <c r="V43" s="11" t="str">
        <f t="shared" si="11"/>
        <v>3:3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Mentill</v>
      </c>
      <c r="F44" s="103" t="str">
        <f t="shared" si="35"/>
        <v>AKMAN</v>
      </c>
      <c r="G44" s="95">
        <f t="shared" si="8"/>
        <v>0</v>
      </c>
      <c r="H44" s="11"/>
      <c r="I44" s="95">
        <f t="shared" si="31"/>
        <v>0</v>
      </c>
      <c r="J44" s="11"/>
      <c r="K44" s="103" t="s">
        <v>42</v>
      </c>
      <c r="L44" s="103" t="s">
        <v>42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Mentill  - (Аргентина) AKMAN</v>
      </c>
      <c r="V44" s="11" t="str">
        <f t="shared" si="11"/>
        <v>0:0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Mentill</v>
      </c>
      <c r="F45" s="103" t="str">
        <f t="shared" si="35"/>
        <v>AKMAN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Mentill  - (Аргентина) AKMAN</v>
      </c>
      <c r="V45" s="11" t="str">
        <f t="shared" si="11"/>
        <v>5:3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Mentill</v>
      </c>
      <c r="F46" s="103" t="str">
        <f t="shared" si="35"/>
        <v>AKMAN</v>
      </c>
      <c r="G46" s="95">
        <f t="shared" si="8"/>
        <v>4</v>
      </c>
      <c r="H46" s="11"/>
      <c r="I46" s="95">
        <f t="shared" si="31"/>
        <v>4</v>
      </c>
      <c r="J46" s="11"/>
      <c r="K46" s="103">
        <v>4.0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Mentill  - (Аргентина) AKMAN</v>
      </c>
      <c r="V46" s="11" t="str">
        <f t="shared" si="11"/>
        <v>4:4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5" t="s">
        <v>68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69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70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71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3" t="s">
        <v>2</v>
      </c>
      <c r="E11" s="4"/>
      <c r="F11" s="5" t="s">
        <v>3</v>
      </c>
      <c r="G11" s="6">
        <f>'ТУР1'!$F$1</f>
        <v>45719</v>
      </c>
      <c r="H11" s="116"/>
      <c r="I11" s="3" t="s">
        <v>2</v>
      </c>
      <c r="J11" s="4"/>
      <c r="K11" s="5" t="s">
        <v>45</v>
      </c>
      <c r="L11" s="6">
        <f>'ТУР1'!$F$1</f>
        <v>45719</v>
      </c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23" t="s">
        <v>13</v>
      </c>
      <c r="E13" s="23" t="s">
        <v>14</v>
      </c>
      <c r="F13" s="23" t="s">
        <v>15</v>
      </c>
      <c r="G13" s="116"/>
      <c r="H13" s="116"/>
      <c r="I13" s="23" t="s">
        <v>13</v>
      </c>
      <c r="J13" s="23" t="s">
        <v>14</v>
      </c>
      <c r="K13" s="23" t="s">
        <v>15</v>
      </c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9" t="str">
        <f>'ТУР1'!$C$4</f>
        <v>Эдуард А.</v>
      </c>
      <c r="E14" s="120" t="str">
        <f>'ТУР1'!$D$4</f>
        <v>Италия</v>
      </c>
      <c r="F14" s="119" t="str">
        <f>'ТУР1'!$E$4</f>
        <v>masterp1ece</v>
      </c>
      <c r="G14" s="116"/>
      <c r="H14" s="116"/>
      <c r="I14" s="119" t="str">
        <f>'ТУР2'!$C$4</f>
        <v>Эдуард А.</v>
      </c>
      <c r="J14" s="120" t="str">
        <f>'ТУР2'!$D$4</f>
        <v>Нидерланды</v>
      </c>
      <c r="K14" s="119" t="str">
        <f>'ТУР2'!$E$4</f>
        <v>masterp1ece</v>
      </c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20" t="str">
        <f>'ТУР1'!$C$5</f>
        <v>Рим С.</v>
      </c>
      <c r="E15" s="120" t="str">
        <f>'ТУР1'!$D$5</f>
        <v>Германия</v>
      </c>
      <c r="F15" s="119" t="str">
        <f>'ТУР1'!$E$5</f>
        <v>CMEX</v>
      </c>
      <c r="G15" s="116"/>
      <c r="H15" s="116"/>
      <c r="I15" s="120" t="str">
        <f>'ТУР2'!$C$5</f>
        <v>Рим С.</v>
      </c>
      <c r="J15" s="120" t="str">
        <f>'ТУР2'!$D$5</f>
        <v>Англия</v>
      </c>
      <c r="K15" s="119" t="str">
        <f>'ТУР2'!$E$5</f>
        <v>CMEX</v>
      </c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20" t="str">
        <f>'ТУР1'!$C$6</f>
        <v>Андрей С.</v>
      </c>
      <c r="E16" s="120" t="str">
        <f>'ТУР1'!$D$6</f>
        <v>Аргентина</v>
      </c>
      <c r="F16" s="119" t="str">
        <f>'ТУР1'!$E$6</f>
        <v>flame</v>
      </c>
      <c r="G16" s="116"/>
      <c r="H16" s="116"/>
      <c r="I16" s="120" t="str">
        <f>'ТУР2'!$C$6</f>
        <v>Андрей С.</v>
      </c>
      <c r="J16" s="120" t="str">
        <f>'ТУР2'!$D$6</f>
        <v>Португалия</v>
      </c>
      <c r="K16" s="119" t="str">
        <f>'ТУР2'!$E$6</f>
        <v>flame</v>
      </c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3" t="s">
        <v>2</v>
      </c>
      <c r="E20" s="4"/>
      <c r="F20" s="5" t="s">
        <v>49</v>
      </c>
      <c r="G20" s="6">
        <f>'ТУР1'!$F$1</f>
        <v>45719</v>
      </c>
      <c r="H20" s="116"/>
      <c r="I20" s="3" t="s">
        <v>2</v>
      </c>
      <c r="J20" s="4"/>
      <c r="K20" s="5" t="s">
        <v>57</v>
      </c>
      <c r="L20" s="6">
        <f>'ТУР1'!$F$1</f>
        <v>45719</v>
      </c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23" t="s">
        <v>13</v>
      </c>
      <c r="E22" s="23" t="s">
        <v>14</v>
      </c>
      <c r="F22" s="23" t="s">
        <v>15</v>
      </c>
      <c r="G22" s="116"/>
      <c r="H22" s="116"/>
      <c r="I22" s="23" t="s">
        <v>13</v>
      </c>
      <c r="J22" s="23" t="s">
        <v>14</v>
      </c>
      <c r="K22" s="23" t="s">
        <v>15</v>
      </c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9" t="str">
        <f>'ТУР3'!$C$4</f>
        <v>Тимофей Б.</v>
      </c>
      <c r="E23" s="120" t="str">
        <f>'ТУР3'!$D$4</f>
        <v>Испания</v>
      </c>
      <c r="F23" s="119" t="str">
        <f>'ТУР3'!$E$4</f>
        <v>debosch</v>
      </c>
      <c r="G23" s="116"/>
      <c r="H23" s="116"/>
      <c r="I23" s="119" t="str">
        <f>'ТУР4'!$C$4</f>
        <v>Тимофей Б.</v>
      </c>
      <c r="J23" s="120" t="str">
        <f>'ТУР4'!$D$4</f>
        <v>Италия</v>
      </c>
      <c r="K23" s="119" t="str">
        <f>'ТУР4'!$E$4</f>
        <v>debosch</v>
      </c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20" t="str">
        <f>'ТУР3'!$C$5</f>
        <v>Азамат Г.</v>
      </c>
      <c r="E24" s="120" t="str">
        <f>'ТУР3'!$D$5</f>
        <v>Нидерланды</v>
      </c>
      <c r="F24" s="119" t="str">
        <f>'ТУР3'!$E$5</f>
        <v>azalazy</v>
      </c>
      <c r="G24" s="116"/>
      <c r="H24" s="116"/>
      <c r="I24" s="120" t="str">
        <f>'ТУР4'!$C$5</f>
        <v>Азамат Г.</v>
      </c>
      <c r="J24" s="120" t="str">
        <f>'ТУР4'!$D$5</f>
        <v>Португалия</v>
      </c>
      <c r="K24" s="119" t="str">
        <f>'ТУР4'!$E$5</f>
        <v>azalazy</v>
      </c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9" t="str">
        <f>'ТУР3'!$C$6</f>
        <v>Никита Д.</v>
      </c>
      <c r="E25" s="120" t="str">
        <f>'ТУР3'!$D$6</f>
        <v>Германия</v>
      </c>
      <c r="F25" s="119" t="str">
        <f>'ТУР3'!$E$6</f>
        <v>⁠nxkitorio</v>
      </c>
      <c r="G25" s="116"/>
      <c r="H25" s="116"/>
      <c r="I25" s="119" t="str">
        <f>'ТУР4'!$C$6</f>
        <v>Никита Д.</v>
      </c>
      <c r="J25" s="120" t="str">
        <f>'ТУР4'!$D$6</f>
        <v>Аргентина</v>
      </c>
      <c r="K25" s="119" t="str">
        <f>'ТУР4'!$E$6</f>
        <v>⁠nxkitorio</v>
      </c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20.25" customHeight="1">
      <c r="A29" s="116"/>
      <c r="B29" s="116"/>
      <c r="C29" s="116"/>
      <c r="D29" s="3" t="s">
        <v>2</v>
      </c>
      <c r="E29" s="4"/>
      <c r="F29" s="5" t="s">
        <v>58</v>
      </c>
      <c r="G29" s="6">
        <f>'ТУР1'!$F$1</f>
        <v>45719</v>
      </c>
      <c r="H29" s="116"/>
      <c r="I29" s="3" t="s">
        <v>2</v>
      </c>
      <c r="J29" s="4"/>
      <c r="K29" s="5" t="s">
        <v>59</v>
      </c>
      <c r="L29" s="6">
        <f>'ТУР1'!$F$1</f>
        <v>45719</v>
      </c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23" t="s">
        <v>13</v>
      </c>
      <c r="E31" s="23" t="s">
        <v>14</v>
      </c>
      <c r="F31" s="23" t="s">
        <v>15</v>
      </c>
      <c r="G31" s="116"/>
      <c r="H31" s="116"/>
      <c r="I31" s="23" t="s">
        <v>13</v>
      </c>
      <c r="J31" s="23" t="s">
        <v>14</v>
      </c>
      <c r="K31" s="23" t="s">
        <v>15</v>
      </c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9" t="str">
        <f>'ТУР5'!$C$4</f>
        <v>Тимофей Б.</v>
      </c>
      <c r="E32" s="120" t="str">
        <f>'ТУР5'!$D$4</f>
        <v>Италия</v>
      </c>
      <c r="F32" s="119" t="str">
        <f>'ТУР5'!$E$4</f>
        <v>debosch</v>
      </c>
      <c r="G32" s="116"/>
      <c r="H32" s="116"/>
      <c r="I32" s="119" t="str">
        <f>'ТУР6'!$C$4</f>
        <v>Павел Г.</v>
      </c>
      <c r="J32" s="120" t="str">
        <f>'ТУР6'!$D$4</f>
        <v>Нидерланды</v>
      </c>
      <c r="K32" s="119" t="str">
        <f>'ТУР6'!$E$4</f>
        <v>Mentill</v>
      </c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20" t="str">
        <f>'ТУР5'!$C$5</f>
        <v>Азамат Г.</v>
      </c>
      <c r="E33" s="120" t="str">
        <f>'ТУР5'!$D$5</f>
        <v>Германия</v>
      </c>
      <c r="F33" s="119" t="str">
        <f>'ТУР5'!$E$5</f>
        <v>azalazy</v>
      </c>
      <c r="G33" s="116"/>
      <c r="H33" s="116"/>
      <c r="I33" s="119" t="str">
        <f>'ТУР6'!$C$5</f>
        <v>Расуль В.</v>
      </c>
      <c r="J33" s="120" t="str">
        <f>'ТУР6'!$D$5</f>
        <v>Англия</v>
      </c>
      <c r="K33" s="119" t="str">
        <f>'ТУР6'!$E$5</f>
        <v>rasval</v>
      </c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9" t="str">
        <f>'ТУР5'!$C$6</f>
        <v>Никита Д.</v>
      </c>
      <c r="E34" s="120" t="str">
        <f>'ТУР5'!$D$6</f>
        <v>Аргентина</v>
      </c>
      <c r="F34" s="119" t="str">
        <f>'ТУР5'!$E$6</f>
        <v>⁠nxkitorio</v>
      </c>
      <c r="G34" s="116"/>
      <c r="H34" s="116"/>
      <c r="I34" s="119" t="str">
        <f>'ТУР6'!$C$6</f>
        <v>Тагир А.</v>
      </c>
      <c r="J34" s="120" t="str">
        <f>'ТУР6'!$D$6</f>
        <v>Португалия</v>
      </c>
      <c r="K34" s="119" t="str">
        <f>'ТУР6'!$E$6</f>
        <v>AKMAN</v>
      </c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9.5" customHeight="1">
      <c r="A38" s="116"/>
      <c r="B38" s="116"/>
      <c r="C38" s="116"/>
      <c r="D38" s="3" t="s">
        <v>2</v>
      </c>
      <c r="E38" s="4"/>
      <c r="F38" s="5" t="s">
        <v>66</v>
      </c>
      <c r="G38" s="6">
        <f>'ТУР1'!$F$1</f>
        <v>45719</v>
      </c>
      <c r="H38" s="116"/>
      <c r="I38" s="3" t="s">
        <v>2</v>
      </c>
      <c r="J38" s="4"/>
      <c r="K38" s="5" t="s">
        <v>67</v>
      </c>
      <c r="L38" s="6">
        <f>'ТУР1'!$F$1</f>
        <v>45719</v>
      </c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23" t="s">
        <v>13</v>
      </c>
      <c r="E40" s="23" t="s">
        <v>14</v>
      </c>
      <c r="F40" s="23" t="s">
        <v>15</v>
      </c>
      <c r="G40" s="116"/>
      <c r="H40" s="116"/>
      <c r="I40" s="23" t="s">
        <v>13</v>
      </c>
      <c r="J40" s="23" t="s">
        <v>14</v>
      </c>
      <c r="K40" s="23" t="s">
        <v>15</v>
      </c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9" t="str">
        <f>'ТУР7'!$C$4</f>
        <v>Павел Г.</v>
      </c>
      <c r="E41" s="120" t="str">
        <f>'ТУР7'!$D$4</f>
        <v>Испания</v>
      </c>
      <c r="F41" s="119" t="str">
        <f>'ТУР7'!$E$4</f>
        <v>Mentill</v>
      </c>
      <c r="G41" s="116"/>
      <c r="H41" s="116"/>
      <c r="I41" s="119" t="str">
        <f>'ТУР8'!$C$4</f>
        <v>Павел Г.</v>
      </c>
      <c r="J41" s="120" t="str">
        <f>'ТУР8'!$D$4</f>
        <v>Италия</v>
      </c>
      <c r="K41" s="119" t="str">
        <f>'ТУР8'!$E$4</f>
        <v>Mentill</v>
      </c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9" t="str">
        <f>'ТУР7'!$C$5</f>
        <v>Расуль В.</v>
      </c>
      <c r="E42" s="120" t="str">
        <f>'ТУР7'!$D$5</f>
        <v>Нидерланды</v>
      </c>
      <c r="F42" s="119" t="str">
        <f>'ТУР7'!$E$5</f>
        <v>rasval</v>
      </c>
      <c r="G42" s="116"/>
      <c r="H42" s="116"/>
      <c r="I42" s="119" t="str">
        <f>'ТУР8'!$C$5</f>
        <v>Расуль В.</v>
      </c>
      <c r="J42" s="120" t="str">
        <f>'ТУР8'!$D$5</f>
        <v>Португалия</v>
      </c>
      <c r="K42" s="119" t="str">
        <f>'ТУР8'!$E$5</f>
        <v>rasval</v>
      </c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9" t="str">
        <f>'ТУР7'!$C$6</f>
        <v>Тагир А.</v>
      </c>
      <c r="E43" s="120" t="str">
        <f>'ТУР7'!$D$6</f>
        <v>Германия</v>
      </c>
      <c r="F43" s="119" t="str">
        <f>'ТУР7'!$E$6</f>
        <v>AKMAN</v>
      </c>
      <c r="G43" s="116"/>
      <c r="H43" s="116"/>
      <c r="I43" s="119" t="str">
        <f>'ТУР8'!$C$6</f>
        <v>Тагир А.</v>
      </c>
      <c r="J43" s="120" t="str">
        <f>'ТУР8'!$D$6</f>
        <v>Аргентина</v>
      </c>
      <c r="K43" s="119" t="str">
        <f>'ТУР8'!$E$6</f>
        <v>AKMAN</v>
      </c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>
      <c r="A221" s="116"/>
      <c r="B221" s="116"/>
      <c r="C221" s="116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</row>
    <row r="222" ht="15.75" customHeight="1">
      <c r="A222" s="116"/>
      <c r="B222" s="116"/>
      <c r="C222" s="116"/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