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<sst xmlns="http://schemas.openxmlformats.org/spreadsheetml/2006/main" count="408" uniqueCount="72">
  <si>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</si>
  <si>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</si>
  <si>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</si>
  <si>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</si>
  <si>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</si>
  <si>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</si>
  <si>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</si>
  <si>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</si>
  <si>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</si>
  <si>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</si>
  <si>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</si>
  <si>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</si>
  <si>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</si>
  <si>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</si>
  <si>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</si>
  <si>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</si>
  <si>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</si>
  <si>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</si>
  <si>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</si>
  <si>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</si>
  <si>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</si>
  <si>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</si>
  <si>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</si>
  <si>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</si>
  <si>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Даниил Н.</t>
  </si>
  <si>
    <t>Италия</t>
  </si>
  <si>
    <t>⁠Flazen</t>
  </si>
  <si>
    <t>Расуль В.</t>
  </si>
  <si>
    <t>Германия</t>
  </si>
  <si>
    <t>rasval</t>
  </si>
  <si>
    <t>Дмитрий Ч.</t>
  </si>
  <si>
    <t>Аргентина</t>
  </si>
  <si>
    <t>Chaos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</si>
  <si>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</si>
  <si>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</si>
  <si>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</si>
  <si>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</si>
  <si>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</si>
  <si>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</si>
  <si>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</si>
  <si>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</si>
  <si>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</si>
  <si>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</si>
  <si>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</si>
  <si>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</si>
  <si>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</si>
  <si>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</si>
  <si>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</si>
  <si>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-</t>
  </si>
  <si>
    <t>ТУР3</t>
  </si>
  <si>
    <t>Тимофей Б.</t>
  </si>
  <si>
    <t>Испания</t>
  </si>
  <si>
    <t>debosch</t>
  </si>
  <si>
    <t>Рим С.</t>
  </si>
  <si>
    <t>CMEX</t>
  </si>
  <si>
    <t>Азамат Г.</t>
  </si>
  <si>
    <t>azalazy</t>
  </si>
  <si>
    <t>ТУР4</t>
  </si>
  <si>
    <t>ТУР5</t>
  </si>
  <si>
    <t>ТУР6</t>
  </si>
  <si>
    <t>Герман Г.</t>
  </si>
  <si>
    <t>tamashii</t>
  </si>
  <si>
    <t>Эдуард А.</t>
  </si>
  <si>
    <t>masterp1ece</t>
  </si>
  <si>
    <t>Сергей Б.</t>
  </si>
  <si>
    <t>Ashao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</si>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</sst>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readingOrder="0" vertical="center"/>
    </xf>
    <xf borderId="4" fillId="3" fontId="14" numFmtId="0" xfId="0" applyAlignment="1" applyBorder="1" applyFon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5</v>
      </c>
      <c r="AJ3" s="7">
        <f t="array" ref="AJ3">SUM((home=AF3)*(homescore&lt;visitorscore),(visitor=AF3)*(visitorscore&lt;homescore))</f>
        <v>11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85</v>
      </c>
      <c r="AM3" s="7">
        <f t="shared" ref="AM3:AM5" si="2">AK3-AL3</f>
        <v>-5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2899950080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81</v>
      </c>
      <c r="AA4" s="26">
        <f t="array" ref="AA4">VLOOKUP($U4,$AF$3:$AN$5,7,0)</f>
        <v>71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12</v>
      </c>
      <c r="AI4" s="7">
        <f t="array" ref="AI4">SUM((home=AF4)*(homescore=visitorscore)*ISNUMBER(visitorscore),(visitor=AF4)*(visitorscore=homescore)*ISNUMBER(homescore))</f>
        <v>5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81</v>
      </c>
      <c r="AL4" s="32">
        <f t="array" ref="AL4">SUMIF(home,AF4,visitorscore)+SUMIF(visitor,AF4,homescore)</f>
        <v>71</v>
      </c>
      <c r="AM4" s="7">
        <f t="shared" si="2"/>
        <v>10</v>
      </c>
      <c r="AN4" s="31">
        <f t="array" ref="AN4">AH4*Options!$B$2+AI4*Options!$B$3+AJ4*Options!$B$4+VLOOKUP(AF4,$E$4:$F$9,2,0)</f>
        <v>41</v>
      </c>
      <c r="AO4" s="11">
        <f t="shared" si="3"/>
        <v>4100100081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77</v>
      </c>
      <c r="AA5" s="26">
        <f t="array" ref="AA5">VLOOKUP($U5,$AF$3:$AN$5,7,0)</f>
        <v>82</v>
      </c>
      <c r="AB5" s="26">
        <f t="array" ref="AB5">VLOOKUP($U5,$AF$3:$AN$5,8,0)</f>
        <v>-5</v>
      </c>
      <c r="AC5" s="26">
        <f t="array" ref="AC5">VLOOKUP($U5,$AF$3:$AN$5,9,0)</f>
        <v>30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77</v>
      </c>
      <c r="AL5" s="32">
        <f t="array" ref="AL5">SUMIF(home,AF5,visitorscore)+SUMIF(visitor,AF5,homescore)</f>
        <v>82</v>
      </c>
      <c r="AM5" s="7">
        <f t="shared" si="2"/>
        <v>-5</v>
      </c>
      <c r="AN5" s="31">
        <f t="array" ref="AN5">AH5*Options!$B$2+AI5*Options!$B$3+AJ5*Options!$B$4+VLOOKUP(AF5,$E$4:$F$9,2,0)</f>
        <v>30</v>
      </c>
      <c r="AO5" s="11">
        <f t="shared" si="3"/>
        <v>2999950077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⁠Flazen</v>
      </c>
      <c r="V6" s="47">
        <f t="array" ref="V6">VLOOKUP($U6,$AF$3:$AN$5,2,0)</f>
        <v>24</v>
      </c>
      <c r="W6" s="48">
        <f t="array" ref="W6">VLOOKUP($U6,$AF$3:$AN$5,3,0)</f>
        <v>8</v>
      </c>
      <c r="X6" s="48">
        <f t="array" ref="X6">VLOOKUP($U6,$AF$3:$AN$5,4,0)</f>
        <v>5</v>
      </c>
      <c r="Y6" s="48">
        <f t="array" ref="Y6">VLOOKUP($U6,$AF$3:$AN$5,5,0)</f>
        <v>11</v>
      </c>
      <c r="Z6" s="48">
        <f t="array" ref="Z6">VLOOKUP($U6,$AF$3:$AN$5,6,0)</f>
        <v>80</v>
      </c>
      <c r="AA6" s="48">
        <f t="array" ref="AA6">VLOOKUP($U6,$AF$3:$AN$5,7,0)</f>
        <v>85</v>
      </c>
      <c r="AB6" s="48">
        <f t="array" ref="AB6">VLOOKUP($U6,$AF$3:$AN$5,8,0)</f>
        <v>-5</v>
      </c>
      <c r="AC6" s="48">
        <f t="array" ref="AC6">VLOOKUP($U6,$AF$3:$AN$5,9,0)</f>
        <v>29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⁠Flazen</v>
      </c>
      <c r="F11" s="66" t="str">
        <f t="shared" ref="F11:F16" si="7">$E$5</f>
        <v>rasval</v>
      </c>
      <c r="G11" s="54">
        <f t="shared" ref="G11:G46" si="8">SUM(K11)</f>
        <v>4</v>
      </c>
      <c r="H11" s="56"/>
      <c r="I11" s="54">
        <f t="shared" ref="I11:I17" si="9">SUM(L11)</f>
        <v>4</v>
      </c>
      <c r="J11" s="56"/>
      <c r="K11" s="66">
        <v>4.0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⁠Flazen  - (Германия) rasval</v>
      </c>
      <c r="V11" s="40" t="str">
        <f t="shared" ref="V11:V46" si="11">TEXT(G11,"0")&amp;":"&amp;TEXT(I11,"0")</f>
        <v>4:4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⁠Flazen</v>
      </c>
      <c r="F12" s="66" t="str">
        <f t="shared" si="7"/>
        <v>rasval</v>
      </c>
      <c r="G12" s="54">
        <f t="shared" si="8"/>
        <v>4</v>
      </c>
      <c r="H12" s="56"/>
      <c r="I12" s="54">
        <f t="shared" si="9"/>
        <v>3</v>
      </c>
      <c r="J12" s="56"/>
      <c r="K12" s="66">
        <v>4.0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⁠Flazen  - (Германия) rasval</v>
      </c>
      <c r="V12" s="40" t="str">
        <f t="shared" si="11"/>
        <v>4:3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⁠Flazen</v>
      </c>
      <c r="F13" s="66" t="str">
        <f t="shared" si="7"/>
        <v>rasval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⁠Flazen  - (Германия) rasval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Chaos</v>
      </c>
      <c r="F14" s="66" t="str">
        <f t="shared" si="7"/>
        <v>rasval</v>
      </c>
      <c r="G14" s="54">
        <f t="shared" si="8"/>
        <v>1</v>
      </c>
      <c r="H14" s="56"/>
      <c r="I14" s="54">
        <f t="shared" si="9"/>
        <v>3</v>
      </c>
      <c r="J14" s="56"/>
      <c r="K14" s="66">
        <v>1.0</v>
      </c>
      <c r="L14" s="66">
        <v>3.0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Chaos  - (Германия) rasval</v>
      </c>
      <c r="V14" s="40" t="str">
        <f t="shared" si="11"/>
        <v>1:3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Chaos</v>
      </c>
      <c r="F15" s="66" t="str">
        <f t="shared" si="7"/>
        <v>rasval</v>
      </c>
      <c r="G15" s="54">
        <f t="shared" si="8"/>
        <v>0</v>
      </c>
      <c r="H15" s="56"/>
      <c r="I15" s="54">
        <f t="shared" si="9"/>
        <v>3</v>
      </c>
      <c r="J15" s="56"/>
      <c r="K15" s="66">
        <v>0.0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Chaos  - (Германия) rasval</v>
      </c>
      <c r="V15" s="40" t="str">
        <f t="shared" si="11"/>
        <v>0:3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Chaos</v>
      </c>
      <c r="F16" s="66" t="str">
        <f t="shared" si="7"/>
        <v>rasval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Chaos  - (Германия) rasval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Chaos</v>
      </c>
      <c r="F17" s="66" t="str">
        <f t="shared" ref="F17:F22" si="15">$E$4</f>
        <v>⁠Flazen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Chaos  - (Италия) ⁠Flazen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Chaos</v>
      </c>
      <c r="F18" s="66" t="str">
        <f t="shared" si="15"/>
        <v>⁠Flazen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Chaos  - (Италия) ⁠Flazen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Chaos</v>
      </c>
      <c r="F19" s="66" t="str">
        <f t="shared" si="15"/>
        <v>⁠Flazen</v>
      </c>
      <c r="G19" s="54">
        <f t="shared" si="8"/>
        <v>4</v>
      </c>
      <c r="H19" s="56"/>
      <c r="I19" s="54">
        <f t="shared" si="16"/>
        <v>5</v>
      </c>
      <c r="J19" s="66"/>
      <c r="K19" s="73">
        <v>4.0</v>
      </c>
      <c r="L19" s="66">
        <v>5.0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Chaos  - (Италия) ⁠Flazen</v>
      </c>
      <c r="V19" s="40" t="str">
        <f t="shared" si="11"/>
        <v>4:5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rasval</v>
      </c>
      <c r="F20" s="66" t="str">
        <f t="shared" si="15"/>
        <v>⁠Flazen</v>
      </c>
      <c r="G20" s="54">
        <f t="shared" si="8"/>
        <v>3</v>
      </c>
      <c r="H20" s="56"/>
      <c r="I20" s="54">
        <f t="shared" si="16"/>
        <v>2</v>
      </c>
      <c r="J20" s="56"/>
      <c r="K20" s="66">
        <v>3.0</v>
      </c>
      <c r="L20" s="66">
        <v>2.0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rasval  - (Италия) ⁠Flazen</v>
      </c>
      <c r="V20" s="40" t="str">
        <f t="shared" si="11"/>
        <v>3:2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rasval</v>
      </c>
      <c r="F21" s="66" t="str">
        <f t="shared" si="15"/>
        <v>⁠Flazen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rasval  - (Италия) ⁠Flazen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rasval</v>
      </c>
      <c r="F22" s="66" t="str">
        <f t="shared" si="15"/>
        <v>⁠Flazen</v>
      </c>
      <c r="G22" s="54">
        <f t="shared" si="8"/>
        <v>5</v>
      </c>
      <c r="H22" s="56"/>
      <c r="I22" s="54">
        <f t="shared" si="16"/>
        <v>3</v>
      </c>
      <c r="J22" s="56"/>
      <c r="K22" s="66">
        <v>5.0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rasval  - (Италия) ⁠Flazen</v>
      </c>
      <c r="V22" s="40" t="str">
        <f t="shared" si="11"/>
        <v>5:3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rasval</v>
      </c>
      <c r="F23" s="66" t="str">
        <f t="shared" ref="F23:F28" si="20">$E$6</f>
        <v>Chaos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rasval  - (Аргентина) Chaos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rasval</v>
      </c>
      <c r="F24" s="66" t="str">
        <f t="shared" si="20"/>
        <v>Chaos</v>
      </c>
      <c r="G24" s="54">
        <f t="shared" si="8"/>
        <v>2</v>
      </c>
      <c r="H24" s="56"/>
      <c r="I24" s="54">
        <f t="shared" si="21"/>
        <v>4</v>
      </c>
      <c r="J24" s="56"/>
      <c r="K24" s="66">
        <v>2.0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rasval  - (Аргентина) Chaos</v>
      </c>
      <c r="V24" s="40" t="str">
        <f t="shared" si="11"/>
        <v>2:4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rasval</v>
      </c>
      <c r="F25" s="66" t="str">
        <f t="shared" si="20"/>
        <v>Chaos</v>
      </c>
      <c r="G25" s="54">
        <f t="shared" si="8"/>
        <v>4</v>
      </c>
      <c r="H25" s="56"/>
      <c r="I25" s="54">
        <f t="shared" si="21"/>
        <v>1</v>
      </c>
      <c r="J25" s="56"/>
      <c r="K25" s="75">
        <v>4.0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rasval  - (Аргентина) Chaos</v>
      </c>
      <c r="V25" s="40" t="str">
        <f t="shared" si="11"/>
        <v>4:1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⁠Flazen</v>
      </c>
      <c r="F26" s="66" t="str">
        <f t="shared" si="20"/>
        <v>Chaos</v>
      </c>
      <c r="G26" s="54">
        <f t="shared" si="8"/>
        <v>4</v>
      </c>
      <c r="H26" s="56"/>
      <c r="I26" s="54">
        <f t="shared" si="21"/>
        <v>1</v>
      </c>
      <c r="J26" s="56"/>
      <c r="K26" s="75">
        <v>4.0</v>
      </c>
      <c r="L26" s="75">
        <v>1.0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⁠Flazen  - (Аргентина) Chaos</v>
      </c>
      <c r="V26" s="40" t="str">
        <f t="shared" si="11"/>
        <v>4:1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⁠Flazen</v>
      </c>
      <c r="F27" s="66" t="str">
        <f t="shared" si="20"/>
        <v>Chaos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⁠Flazen  - (Аргентина) Chaos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⁠Flazen</v>
      </c>
      <c r="F28" s="66" t="str">
        <f t="shared" si="20"/>
        <v>Chaos</v>
      </c>
      <c r="G28" s="54">
        <f t="shared" si="8"/>
        <v>0</v>
      </c>
      <c r="H28" s="56"/>
      <c r="I28" s="54">
        <f t="shared" si="21"/>
        <v>3</v>
      </c>
      <c r="J28" s="56"/>
      <c r="K28" s="66">
        <v>0.0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⁠Flazen  - (Аргентина) Chaos</v>
      </c>
      <c r="V28" s="40" t="str">
        <f t="shared" si="11"/>
        <v>0:3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⁠Flazen</v>
      </c>
      <c r="F29" s="66" t="str">
        <f t="shared" ref="F29:F34" si="25">$E$5</f>
        <v>rasval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6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⁠Flazen  - (Германия) rasval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⁠Flazen</v>
      </c>
      <c r="F30" s="66" t="str">
        <f t="shared" si="25"/>
        <v>rasval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⁠Flazen  - (Германия) rasval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⁠Flazen</v>
      </c>
      <c r="F31" s="66" t="str">
        <f t="shared" si="25"/>
        <v>rasval</v>
      </c>
      <c r="G31" s="54">
        <f t="shared" si="8"/>
        <v>3</v>
      </c>
      <c r="H31" s="56"/>
      <c r="I31" s="54">
        <f t="shared" si="26"/>
        <v>0</v>
      </c>
      <c r="J31" s="56"/>
      <c r="K31" s="66">
        <v>3.0</v>
      </c>
      <c r="L31" s="66">
        <v>0.0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⁠Flazen  - (Германия) rasval</v>
      </c>
      <c r="V31" s="40" t="str">
        <f t="shared" si="11"/>
        <v>3:0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Chaos</v>
      </c>
      <c r="F32" s="66" t="str">
        <f t="shared" si="25"/>
        <v>rasval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Chaos  - (Германия) rasval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Chaos</v>
      </c>
      <c r="F33" s="66" t="str">
        <f t="shared" si="25"/>
        <v>rasval</v>
      </c>
      <c r="G33" s="54">
        <f t="shared" si="8"/>
        <v>3</v>
      </c>
      <c r="H33" s="56"/>
      <c r="I33" s="54">
        <f t="shared" si="26"/>
        <v>4</v>
      </c>
      <c r="J33" s="56">
        <v>5.0</v>
      </c>
      <c r="K33" s="66">
        <v>3.0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Chaos  - (Германия) rasval</v>
      </c>
      <c r="V33" s="40" t="str">
        <f t="shared" si="11"/>
        <v>3:4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Chaos</v>
      </c>
      <c r="F34" s="66" t="str">
        <f t="shared" si="25"/>
        <v>rasval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Chaos  - (Германия) rasval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Chaos</v>
      </c>
      <c r="F35" s="66" t="str">
        <f t="shared" ref="F35:F40" si="30">$E$4</f>
        <v>⁠Flazen</v>
      </c>
      <c r="G35" s="54">
        <f t="shared" si="8"/>
        <v>4</v>
      </c>
      <c r="H35" s="56"/>
      <c r="I35" s="54">
        <f t="shared" ref="I35:I46" si="31">SUM(L35)</f>
        <v>4</v>
      </c>
      <c r="J35" s="56">
        <v>3.0</v>
      </c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Chaos  - (Италия) ⁠Flazen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Chaos</v>
      </c>
      <c r="F36" s="66" t="str">
        <f t="shared" si="30"/>
        <v>⁠Flazen</v>
      </c>
      <c r="G36" s="54">
        <f t="shared" si="8"/>
        <v>4</v>
      </c>
      <c r="H36" s="56"/>
      <c r="I36" s="54">
        <f t="shared" si="31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Chaos  - (Италия) ⁠Flazen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Chaos</v>
      </c>
      <c r="F37" s="66" t="str">
        <f t="shared" si="30"/>
        <v>⁠Flazen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Chaos  - (Италия) ⁠Flazen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rasval</v>
      </c>
      <c r="F38" s="66" t="str">
        <f t="shared" si="30"/>
        <v>⁠Flazen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rasval  - (Италия) ⁠Flazen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rasval</v>
      </c>
      <c r="F39" s="66" t="str">
        <f t="shared" si="30"/>
        <v>⁠Flazen</v>
      </c>
      <c r="G39" s="54">
        <f t="shared" si="8"/>
        <v>4</v>
      </c>
      <c r="H39" s="40"/>
      <c r="I39" s="54">
        <f t="shared" si="31"/>
        <v>1</v>
      </c>
      <c r="J39" s="40"/>
      <c r="K39" s="66">
        <v>4.0</v>
      </c>
      <c r="L39" s="66">
        <v>1.0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rasval  - (Италия) ⁠Flazen</v>
      </c>
      <c r="V39" s="40" t="str">
        <f t="shared" si="11"/>
        <v>4:1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rasval</v>
      </c>
      <c r="F40" s="66" t="str">
        <f t="shared" si="30"/>
        <v>⁠Flazen</v>
      </c>
      <c r="G40" s="54">
        <f t="shared" si="8"/>
        <v>4</v>
      </c>
      <c r="H40" s="40"/>
      <c r="I40" s="54">
        <f t="shared" si="31"/>
        <v>1</v>
      </c>
      <c r="J40" s="40"/>
      <c r="K40" s="66">
        <v>4.0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rasval  - (Италия) ⁠Flazen</v>
      </c>
      <c r="V40" s="40" t="str">
        <f t="shared" si="11"/>
        <v>4:1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rasval</v>
      </c>
      <c r="F41" s="66" t="str">
        <f t="shared" ref="F41:F46" si="35">$E$6</f>
        <v>Chaos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rasval  - (Аргентина) Chaos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rasval</v>
      </c>
      <c r="F42" s="66" t="str">
        <f t="shared" si="35"/>
        <v>Chaos</v>
      </c>
      <c r="G42" s="54">
        <f t="shared" si="8"/>
        <v>4</v>
      </c>
      <c r="H42" s="40"/>
      <c r="I42" s="54">
        <f t="shared" si="31"/>
        <v>4</v>
      </c>
      <c r="J42" s="40">
        <v>3.0</v>
      </c>
      <c r="K42" s="66">
        <v>4.0</v>
      </c>
      <c r="L42" s="66">
        <v>4.0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rasval  - (Аргентина) Chaos</v>
      </c>
      <c r="V42" s="40" t="str">
        <f t="shared" si="11"/>
        <v>4:4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rasval</v>
      </c>
      <c r="F43" s="66" t="str">
        <f t="shared" si="35"/>
        <v>Chaos</v>
      </c>
      <c r="G43" s="54">
        <f t="shared" si="8"/>
        <v>3</v>
      </c>
      <c r="H43" s="40"/>
      <c r="I43" s="54">
        <f t="shared" si="31"/>
        <v>0</v>
      </c>
      <c r="J43" s="40"/>
      <c r="K43" s="66">
        <v>3.0</v>
      </c>
      <c r="L43" s="66">
        <v>0.0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rasval  - (Аргентина) Chaos</v>
      </c>
      <c r="V43" s="40" t="str">
        <f t="shared" si="11"/>
        <v>3:0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⁠Flazen</v>
      </c>
      <c r="F44" s="66" t="str">
        <f t="shared" si="35"/>
        <v>Chaos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⁠Flazen  - (Аргентина) Chaos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⁠Flazen</v>
      </c>
      <c r="F45" s="66" t="str">
        <f t="shared" si="35"/>
        <v>Chaos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⁠Flazen  - (Аргентина) Chaos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⁠Flazen</v>
      </c>
      <c r="F46" s="66" t="str">
        <f t="shared" si="35"/>
        <v>Chaos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⁠Flazen  - (Аргентина) Chaos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44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⁠Flazen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5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67</v>
      </c>
      <c r="AL3" s="32">
        <f t="array" ref="AL3">SUMIF('ТУР2'!home,AF3,'ТУР2'!visitorscore)+SUMIF('ТУР2'!visitor,AF3,'ТУР2'!homescore)</f>
        <v>70</v>
      </c>
      <c r="AM3" s="7">
        <f t="shared" ref="AM3:AM5" si="2">AK3-AL3</f>
        <v>-3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2799970067</v>
      </c>
    </row>
    <row r="4">
      <c r="A4" s="11"/>
      <c r="B4" s="8"/>
      <c r="C4" s="83" t="s">
        <v>24</v>
      </c>
      <c r="D4" s="34" t="s">
        <v>45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68</v>
      </c>
      <c r="AA4" s="26">
        <f t="array" ref="AA4">VLOOKUP($U4,$AF$3:$AN$5,7,0)</f>
        <v>67</v>
      </c>
      <c r="AB4" s="26">
        <f t="array" ref="AB4">VLOOKUP($U4,$AF$3:$AN$5,8,0)</f>
        <v>1</v>
      </c>
      <c r="AC4" s="26">
        <f t="array" ref="AC4">VLOOKUP($U4,$AF$3:$AN$5,9,0)</f>
        <v>33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12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68</v>
      </c>
      <c r="AL4" s="32">
        <f t="array" ref="AL4">SUMIF('ТУР2'!home,AF4,'ТУР2'!visitorscore)+SUMIF('ТУР2'!visitor,AF4,'ТУР2'!homescore)</f>
        <v>67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3300010068</v>
      </c>
    </row>
    <row r="5">
      <c r="A5" s="11"/>
      <c r="B5" s="8"/>
      <c r="C5" s="33" t="s">
        <v>27</v>
      </c>
      <c r="D5" s="34" t="s">
        <v>46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77</v>
      </c>
      <c r="AB5" s="26">
        <f t="array" ref="AB5">VLOOKUP($U5,$AF$3:$AN$5,8,0)</f>
        <v>2</v>
      </c>
      <c r="AC5" s="26">
        <f t="array" ref="AC5">VLOOKUP($U5,$AF$3:$AN$5,9,0)</f>
        <v>30</v>
      </c>
      <c r="AD5" s="38"/>
      <c r="AE5" s="11"/>
      <c r="AF5" s="39" t="str">
        <f t="shared" si="1"/>
        <v>Chaos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9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79</v>
      </c>
      <c r="AL5" s="32">
        <f t="array" ref="AL5">SUMIF('ТУР2'!home,AF5,'ТУР2'!visitorscore)+SUMIF('ТУР2'!visitor,AF5,'ТУР2'!homescore)</f>
        <v>77</v>
      </c>
      <c r="AM5" s="7">
        <f t="shared" si="2"/>
        <v>2</v>
      </c>
      <c r="AN5" s="31">
        <f t="array" ref="AN5">AH5*Options!$B$2+AI5*Options!$B$3+AJ5*Options!$B$4+VLOOKUP(AF5,$E$4:$F$9,2,0)</f>
        <v>30</v>
      </c>
      <c r="AO5" s="11">
        <f t="shared" si="3"/>
        <v>3000020079</v>
      </c>
    </row>
    <row r="6">
      <c r="A6" s="11"/>
      <c r="B6" s="8"/>
      <c r="C6" s="84" t="s">
        <v>30</v>
      </c>
      <c r="D6" s="34" t="s">
        <v>47</v>
      </c>
      <c r="E6" s="8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13</v>
      </c>
      <c r="Y6" s="26">
        <f t="array" ref="Y6">VLOOKUP($U6,$AF$3:$AN$5,5,0)</f>
        <v>6</v>
      </c>
      <c r="Z6" s="26">
        <f t="array" ref="Z6">VLOOKUP($U6,$AF$3:$AN$5,6,0)</f>
        <v>67</v>
      </c>
      <c r="AA6" s="26">
        <f t="array" ref="AA6">VLOOKUP($U6,$AF$3:$AN$5,7,0)</f>
        <v>70</v>
      </c>
      <c r="AB6" s="26">
        <f t="array" ref="AB6">VLOOKUP($U6,$AF$3:$AN$5,8,0)</f>
        <v>-3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⁠Flazen</v>
      </c>
      <c r="F11" s="66" t="str">
        <f t="shared" ref="F11:F16" si="7">$E$5</f>
        <v>rasval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48</v>
      </c>
      <c r="L11" s="66" t="s">
        <v>48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⁠Flazen  - (Англия) rasval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⁠Flazen</v>
      </c>
      <c r="F12" s="66" t="str">
        <f t="shared" si="7"/>
        <v>rasval</v>
      </c>
      <c r="G12" s="54">
        <f t="shared" si="8"/>
        <v>0</v>
      </c>
      <c r="H12" s="56"/>
      <c r="I12" s="54">
        <f t="shared" si="9"/>
        <v>0</v>
      </c>
      <c r="J12" s="56"/>
      <c r="K12" s="66" t="s">
        <v>48</v>
      </c>
      <c r="L12" s="66" t="s">
        <v>48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⁠Flazen  - (Англия) rasval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⁠Flazen</v>
      </c>
      <c r="F13" s="66" t="str">
        <f t="shared" si="7"/>
        <v>rasval</v>
      </c>
      <c r="G13" s="54">
        <f t="shared" si="8"/>
        <v>0</v>
      </c>
      <c r="H13" s="56"/>
      <c r="I13" s="54">
        <f t="shared" si="9"/>
        <v>0</v>
      </c>
      <c r="J13" s="56"/>
      <c r="K13" s="66" t="s">
        <v>48</v>
      </c>
      <c r="L13" s="66" t="s">
        <v>48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⁠Flazen  - (Англия) rasval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Chaos</v>
      </c>
      <c r="F14" s="66" t="str">
        <f t="shared" si="7"/>
        <v>rasval</v>
      </c>
      <c r="G14" s="54">
        <f t="shared" si="8"/>
        <v>0</v>
      </c>
      <c r="H14" s="56"/>
      <c r="I14" s="54">
        <f t="shared" si="9"/>
        <v>0</v>
      </c>
      <c r="J14" s="56"/>
      <c r="K14" s="66" t="s">
        <v>48</v>
      </c>
      <c r="L14" s="66" t="s">
        <v>48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Chaos  - (Англия) rasval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Chaos</v>
      </c>
      <c r="F15" s="66" t="str">
        <f t="shared" si="7"/>
        <v>rasval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Chaos  - (Англия) rasval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Chaos</v>
      </c>
      <c r="F16" s="66" t="str">
        <f t="shared" si="7"/>
        <v>rasval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Chaos  - (Англия) rasval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Chaos</v>
      </c>
      <c r="F17" s="66" t="str">
        <f t="shared" ref="F17:F22" si="15">$E$4</f>
        <v>⁠Flazen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Chaos  - (Нидерланды) ⁠Flazen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Chaos</v>
      </c>
      <c r="F18" s="66" t="str">
        <f t="shared" si="15"/>
        <v>⁠Flazen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Chaos  - (Нидерланды) ⁠Flazen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Chaos</v>
      </c>
      <c r="F19" s="66" t="str">
        <f t="shared" si="15"/>
        <v>⁠Flazen</v>
      </c>
      <c r="G19" s="54">
        <f t="shared" si="8"/>
        <v>4</v>
      </c>
      <c r="H19" s="56"/>
      <c r="I19" s="54">
        <f t="shared" si="16"/>
        <v>2</v>
      </c>
      <c r="J19" s="56"/>
      <c r="K19" s="66">
        <v>4.0</v>
      </c>
      <c r="L19" s="66">
        <v>2.0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Chaos  - (Нидерланды) ⁠Flazen</v>
      </c>
      <c r="V19" s="40" t="str">
        <f t="shared" si="11"/>
        <v>4:2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rasval</v>
      </c>
      <c r="F20" s="66" t="str">
        <f t="shared" si="15"/>
        <v>⁠Flazen</v>
      </c>
      <c r="G20" s="54">
        <f t="shared" si="8"/>
        <v>3</v>
      </c>
      <c r="H20" s="56"/>
      <c r="I20" s="54">
        <f t="shared" si="16"/>
        <v>3</v>
      </c>
      <c r="J20" s="56"/>
      <c r="K20" s="66">
        <v>3.0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rasval  - (Нидерланды) ⁠Flazen</v>
      </c>
      <c r="V20" s="40" t="str">
        <f t="shared" si="11"/>
        <v>3:3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rasval</v>
      </c>
      <c r="F21" s="66" t="str">
        <f t="shared" si="15"/>
        <v>⁠Flazen</v>
      </c>
      <c r="G21" s="54">
        <f t="shared" si="8"/>
        <v>3</v>
      </c>
      <c r="H21" s="56"/>
      <c r="I21" s="54">
        <f t="shared" si="16"/>
        <v>4</v>
      </c>
      <c r="J21" s="56"/>
      <c r="K21" s="66">
        <v>3.0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rasval  - (Нидерланды) ⁠Flazen</v>
      </c>
      <c r="V21" s="40" t="str">
        <f t="shared" si="11"/>
        <v>3:4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rasval</v>
      </c>
      <c r="F22" s="66" t="str">
        <f t="shared" si="15"/>
        <v>⁠Flazen</v>
      </c>
      <c r="G22" s="54">
        <f t="shared" si="8"/>
        <v>2</v>
      </c>
      <c r="H22" s="56"/>
      <c r="I22" s="54">
        <f t="shared" si="16"/>
        <v>2</v>
      </c>
      <c r="J22" s="56"/>
      <c r="K22" s="66">
        <v>2.0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rasval  - (Нидерланды) ⁠Flazen</v>
      </c>
      <c r="V22" s="40" t="str">
        <f t="shared" si="11"/>
        <v>2:2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rasval</v>
      </c>
      <c r="F23" s="66" t="str">
        <f t="shared" ref="F23:F28" si="20">$E$6</f>
        <v>Chaos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rasval  - (Португалия) Chaos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rasval</v>
      </c>
      <c r="F24" s="66" t="str">
        <f t="shared" si="20"/>
        <v>Chaos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rasval  - (Португалия) Chaos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rasval</v>
      </c>
      <c r="F25" s="66" t="str">
        <f t="shared" si="20"/>
        <v>Chaos</v>
      </c>
      <c r="G25" s="54">
        <f t="shared" si="8"/>
        <v>3</v>
      </c>
      <c r="H25" s="56"/>
      <c r="I25" s="54">
        <f t="shared" si="21"/>
        <v>2</v>
      </c>
      <c r="J25" s="56"/>
      <c r="K25" s="75">
        <v>3.0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rasval  - (Португалия) Chaos</v>
      </c>
      <c r="V25" s="40" t="str">
        <f t="shared" si="11"/>
        <v>3:2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⁠Flazen</v>
      </c>
      <c r="F26" s="66" t="str">
        <f t="shared" si="20"/>
        <v>Chaos</v>
      </c>
      <c r="G26" s="54">
        <f t="shared" si="8"/>
        <v>1</v>
      </c>
      <c r="H26" s="56"/>
      <c r="I26" s="54">
        <f t="shared" si="21"/>
        <v>3</v>
      </c>
      <c r="J26" s="56"/>
      <c r="K26" s="75">
        <v>1.0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⁠Flazen  - (Португалия) Chaos</v>
      </c>
      <c r="V26" s="40" t="str">
        <f t="shared" si="11"/>
        <v>1:3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⁠Flazen</v>
      </c>
      <c r="F27" s="66" t="str">
        <f t="shared" si="20"/>
        <v>Chaos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⁠Flazen  - (Португалия) Chaos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⁠Flazen</v>
      </c>
      <c r="F28" s="66" t="str">
        <f t="shared" si="20"/>
        <v>Chaos</v>
      </c>
      <c r="G28" s="54">
        <f t="shared" si="8"/>
        <v>3</v>
      </c>
      <c r="H28" s="56"/>
      <c r="I28" s="54">
        <f t="shared" si="21"/>
        <v>4</v>
      </c>
      <c r="J28" s="66">
        <v>4.0</v>
      </c>
      <c r="K28" s="76">
        <v>3.0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⁠Flazen  - (Португалия) Chaos</v>
      </c>
      <c r="V28" s="40" t="str">
        <f t="shared" si="11"/>
        <v>3:4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⁠Flazen</v>
      </c>
      <c r="F29" s="66" t="str">
        <f t="shared" ref="F29:F34" si="25">$E$5</f>
        <v>rasval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⁠Flazen  - (Англия) rasval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⁠Flazen</v>
      </c>
      <c r="F30" s="66" t="str">
        <f t="shared" si="25"/>
        <v>rasval</v>
      </c>
      <c r="G30" s="54">
        <f t="shared" si="8"/>
        <v>4</v>
      </c>
      <c r="H30" s="56"/>
      <c r="I30" s="54">
        <f t="shared" ref="I30:I34" si="26">SUM(L30,O30)</f>
        <v>3</v>
      </c>
      <c r="J30" s="56"/>
      <c r="K30" s="66">
        <v>4.0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⁠Flazen  - (Англия) rasval</v>
      </c>
      <c r="V30" s="40" t="str">
        <f t="shared" si="11"/>
        <v>4:3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⁠Flazen</v>
      </c>
      <c r="F31" s="66" t="str">
        <f t="shared" si="25"/>
        <v>rasval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⁠Flazen  - (Англия) rasval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Chaos</v>
      </c>
      <c r="F32" s="66" t="str">
        <f t="shared" si="25"/>
        <v>rasval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Chaos  - (Англия) rasval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Chaos</v>
      </c>
      <c r="F33" s="66" t="str">
        <f t="shared" si="25"/>
        <v>rasval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Chaos  - (Англия) rasval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Chaos</v>
      </c>
      <c r="F34" s="66" t="str">
        <f t="shared" si="25"/>
        <v>rasval</v>
      </c>
      <c r="G34" s="54">
        <f t="shared" si="8"/>
        <v>4</v>
      </c>
      <c r="H34" s="56"/>
      <c r="I34" s="54">
        <f t="shared" si="26"/>
        <v>5</v>
      </c>
      <c r="J34" s="56"/>
      <c r="K34" s="66">
        <v>4.0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Chaos  - (Англия) rasval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Chaos</v>
      </c>
      <c r="F35" s="66" t="str">
        <f t="shared" ref="F35:F40" si="30">$E$4</f>
        <v>⁠Flazen</v>
      </c>
      <c r="G35" s="54">
        <f t="shared" si="8"/>
        <v>5</v>
      </c>
      <c r="H35" s="56"/>
      <c r="I35" s="54">
        <f t="shared" ref="I35:I46" si="31">SUM(L35)</f>
        <v>5</v>
      </c>
      <c r="J35" s="56"/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Chaos  - (Нидерланды) ⁠Flazen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Chaos</v>
      </c>
      <c r="F36" s="66" t="str">
        <f t="shared" si="30"/>
        <v>⁠Flazen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Chaos  - (Нидерланды) ⁠Flazen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Chaos</v>
      </c>
      <c r="F37" s="66" t="str">
        <f t="shared" si="30"/>
        <v>⁠Flazen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Chaos  - (Нидерланды) ⁠Flazen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rasval</v>
      </c>
      <c r="F38" s="66" t="str">
        <f t="shared" si="30"/>
        <v>⁠Flazen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rasval  - (Нидерланды) ⁠Flazen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rasval</v>
      </c>
      <c r="F39" s="66" t="str">
        <f t="shared" si="30"/>
        <v>⁠Flazen</v>
      </c>
      <c r="G39" s="54">
        <f t="shared" si="8"/>
        <v>5</v>
      </c>
      <c r="H39" s="40"/>
      <c r="I39" s="54">
        <f t="shared" si="31"/>
        <v>5</v>
      </c>
      <c r="J39" s="40"/>
      <c r="K39" s="66">
        <v>5.0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rasval  - (Нидерланды) ⁠Flazen</v>
      </c>
      <c r="V39" s="40" t="str">
        <f t="shared" si="11"/>
        <v>5:5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rasval</v>
      </c>
      <c r="F40" s="66" t="str">
        <f t="shared" si="30"/>
        <v>⁠Flazen</v>
      </c>
      <c r="G40" s="54">
        <f t="shared" si="8"/>
        <v>2</v>
      </c>
      <c r="H40" s="40"/>
      <c r="I40" s="54">
        <f t="shared" si="31"/>
        <v>1</v>
      </c>
      <c r="J40" s="40"/>
      <c r="K40" s="66">
        <v>2.0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rasval  - (Нидерланды) ⁠Flazen</v>
      </c>
      <c r="V40" s="40" t="str">
        <f t="shared" si="11"/>
        <v>2:1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rasval</v>
      </c>
      <c r="F41" s="66" t="str">
        <f t="shared" ref="F41:F46" si="35">$E$6</f>
        <v>Chaos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rasval  - (Португалия) Chaos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rasval</v>
      </c>
      <c r="F42" s="66" t="str">
        <f t="shared" si="35"/>
        <v>Chaos</v>
      </c>
      <c r="G42" s="54">
        <f t="shared" si="8"/>
        <v>4</v>
      </c>
      <c r="H42" s="40"/>
      <c r="I42" s="54">
        <f t="shared" si="31"/>
        <v>2</v>
      </c>
      <c r="J42" s="40"/>
      <c r="K42" s="66">
        <v>4.0</v>
      </c>
      <c r="L42" s="66">
        <v>2.0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rasval  - (Португалия) Chaos</v>
      </c>
      <c r="V42" s="40" t="str">
        <f t="shared" si="11"/>
        <v>4:2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rasval</v>
      </c>
      <c r="F43" s="66" t="str">
        <f t="shared" si="35"/>
        <v>Chaos</v>
      </c>
      <c r="G43" s="54">
        <f t="shared" si="8"/>
        <v>2</v>
      </c>
      <c r="H43" s="40"/>
      <c r="I43" s="54">
        <f t="shared" si="31"/>
        <v>2</v>
      </c>
      <c r="J43" s="40"/>
      <c r="K43" s="66">
        <v>2.0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rasval  - (Португалия) Chaos</v>
      </c>
      <c r="V43" s="40" t="str">
        <f t="shared" si="11"/>
        <v>2:2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⁠Flazen</v>
      </c>
      <c r="F44" s="66" t="str">
        <f t="shared" si="35"/>
        <v>Chaos</v>
      </c>
      <c r="G44" s="54">
        <f t="shared" si="8"/>
        <v>2</v>
      </c>
      <c r="H44" s="40"/>
      <c r="I44" s="54">
        <f t="shared" si="31"/>
        <v>2</v>
      </c>
      <c r="J44" s="40"/>
      <c r="K44" s="66">
        <v>2.0</v>
      </c>
      <c r="L44" s="66">
        <v>2.0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⁠Flazen  - (Португалия) Chaos</v>
      </c>
      <c r="V44" s="40" t="str">
        <f t="shared" si="11"/>
        <v>2:2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⁠Flazen</v>
      </c>
      <c r="F45" s="66" t="str">
        <f t="shared" si="35"/>
        <v>Chaos</v>
      </c>
      <c r="G45" s="54">
        <f t="shared" si="8"/>
        <v>0</v>
      </c>
      <c r="H45" s="40"/>
      <c r="I45" s="54">
        <f t="shared" si="31"/>
        <v>0</v>
      </c>
      <c r="J45" s="40"/>
      <c r="K45" s="66" t="s">
        <v>48</v>
      </c>
      <c r="L45" s="66" t="s">
        <v>48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⁠Flazen  - (Португалия) Chaos</v>
      </c>
      <c r="V45" s="40" t="str">
        <f t="shared" si="11"/>
        <v>0:0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⁠Flazen</v>
      </c>
      <c r="F46" s="66" t="str">
        <f t="shared" si="35"/>
        <v>Chaos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⁠Flazen  - (Португалия) Chaos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12</v>
      </c>
      <c r="AK3" s="31">
        <f t="array" ref="AK3">SUMIF('ТУР3'!home,AF3,'ТУР3'!homescore)+SUMIF('ТУР3'!visitor,AF3,'ТУР3'!visitorscore)</f>
        <v>78</v>
      </c>
      <c r="AL3" s="32">
        <f t="array" ref="AL3">SUMIF('ТУР3'!home,AF3,'ТУР3'!visitorscore)+SUMIF('ТУР3'!visitor,AF3,'ТУР3'!homescore)</f>
        <v>83</v>
      </c>
      <c r="AM3" s="7">
        <f t="shared" ref="AM3:AM5" si="2">AK3-AL3</f>
        <v>-5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2399950078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92</v>
      </c>
      <c r="AA4" s="26">
        <f t="array" ref="AA4">VLOOKUP($U4,$AF$3:$AN$5,7,0)</f>
        <v>83</v>
      </c>
      <c r="AB4" s="26">
        <f t="array" ref="AB4">VLOOKUP($U4,$AF$3:$AN$5,8,0)</f>
        <v>9</v>
      </c>
      <c r="AC4" s="26">
        <f t="array" ref="AC4">VLOOKUP($U4,$AF$3:$AN$5,9,0)</f>
        <v>42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86</v>
      </c>
      <c r="AL4" s="32">
        <f t="array" ref="AL4">SUMIF('ТУР3'!home,AF4,'ТУР3'!visitorscore)+SUMIF('ТУР3'!visitor,AF4,'ТУР3'!homescore)</f>
        <v>90</v>
      </c>
      <c r="AM4" s="7">
        <f t="shared" si="2"/>
        <v>-4</v>
      </c>
      <c r="AN4" s="31">
        <f t="array" ref="AN4">AH4*Options!$B$2+AI4*Options!$B$3+AJ4*Options!$B$4+VLOOKUP(AF4,$E$4:$F$9,2,0)</f>
        <v>33</v>
      </c>
      <c r="AO4" s="11">
        <f t="shared" si="3"/>
        <v>3299960086</v>
      </c>
    </row>
    <row r="5">
      <c r="A5" s="11"/>
      <c r="B5" s="8"/>
      <c r="C5" s="33" t="s">
        <v>53</v>
      </c>
      <c r="D5" s="90" t="s">
        <v>45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86</v>
      </c>
      <c r="AA5" s="26">
        <f t="array" ref="AA5">VLOOKUP($U5,$AF$3:$AN$5,7,0)</f>
        <v>90</v>
      </c>
      <c r="AB5" s="26">
        <f t="array" ref="AB5">VLOOKUP($U5,$AF$3:$AN$5,8,0)</f>
        <v>-4</v>
      </c>
      <c r="AC5" s="26">
        <f t="array" ref="AC5">VLOOKUP($U5,$AF$3:$AN$5,9,0)</f>
        <v>33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12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92</v>
      </c>
      <c r="AL5" s="32">
        <f t="array" ref="AL5">SUMIF('ТУР3'!home,AF5,'ТУР3'!visitorscore)+SUMIF('ТУР3'!visitor,AF5,'ТУР3'!homescore)</f>
        <v>83</v>
      </c>
      <c r="AM5" s="7">
        <f t="shared" si="2"/>
        <v>9</v>
      </c>
      <c r="AN5" s="31">
        <f t="array" ref="AN5">AH5*Options!$B$2+AI5*Options!$B$3+AJ5*Options!$B$4+VLOOKUP(AF5,$E$4:$F$9,2,0)</f>
        <v>42</v>
      </c>
      <c r="AO5" s="11">
        <f t="shared" si="3"/>
        <v>4200090092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78</v>
      </c>
      <c r="AA6" s="26">
        <f t="array" ref="AA6">VLOOKUP($U6,$AF$3:$AN$5,7,0)</f>
        <v>83</v>
      </c>
      <c r="AB6" s="26">
        <f t="array" ref="AB6">VLOOKUP($U6,$AF$3:$AN$5,8,0)</f>
        <v>-5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debosch</v>
      </c>
      <c r="F11" s="102" t="str">
        <f t="shared" ref="F11:F16" si="7">$E$5</f>
        <v>CMEX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debosch  - (Нидерланды) CMEX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debosch</v>
      </c>
      <c r="F12" s="102" t="str">
        <f t="shared" si="7"/>
        <v>CMEX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debosch  - (Нидерланды) CMEX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debosch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debosch  - (Нидерланды) CMEX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azalazy</v>
      </c>
      <c r="F14" s="102" t="str">
        <f t="shared" si="7"/>
        <v>CMEX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azalazy  - (Нидерланды) CMEX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azalazy</v>
      </c>
      <c r="F15" s="102" t="str">
        <f t="shared" si="7"/>
        <v>CMEX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azalazy  - (Нидерланды) CMEX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azalazy</v>
      </c>
      <c r="F16" s="102" t="str">
        <f t="shared" si="7"/>
        <v>CMEX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azalazy  - (Нидерланды) CMEX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azalazy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azalazy  - (Испания) debosch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azalazy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azalazy  - (Испания) debosch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azalazy</v>
      </c>
      <c r="F19" s="102" t="str">
        <f t="shared" si="15"/>
        <v>debosch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azalazy  - (Испания) debosch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CMEX</v>
      </c>
      <c r="F20" s="102" t="str">
        <f t="shared" si="15"/>
        <v>debosch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48</v>
      </c>
      <c r="L20" s="102" t="s">
        <v>48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CMEX  - (Испания) debosch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CMEX</v>
      </c>
      <c r="F21" s="102" t="str">
        <f t="shared" si="15"/>
        <v>debosch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CMEX  - (Испания) debosch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CMEX</v>
      </c>
      <c r="F22" s="102" t="str">
        <f t="shared" si="15"/>
        <v>debosch</v>
      </c>
      <c r="G22" s="94">
        <f t="shared" si="8"/>
        <v>3</v>
      </c>
      <c r="H22" s="96"/>
      <c r="I22" s="94">
        <f t="shared" si="16"/>
        <v>1</v>
      </c>
      <c r="J22" s="96"/>
      <c r="K22" s="102">
        <v>3.0</v>
      </c>
      <c r="L22" s="102">
        <v>1.0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CMEX  - (Испания) debosch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CMEX</v>
      </c>
      <c r="F23" s="102" t="str">
        <f t="shared" ref="F23:F28" si="20">$E$6</f>
        <v>azalazy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CMEX  - (Германия) azalazy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CMEX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CMEX  - (Германия) azalazy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CMEX</v>
      </c>
      <c r="F25" s="102" t="str">
        <f t="shared" si="20"/>
        <v>azalazy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CMEX  - (Германия) azalazy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debosch</v>
      </c>
      <c r="F26" s="102" t="str">
        <f t="shared" si="20"/>
        <v>azalazy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debosch  - (Германия) azalazy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debosch</v>
      </c>
      <c r="F27" s="102" t="str">
        <f t="shared" si="20"/>
        <v>azalazy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debosch  - (Германия) azalazy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debosch</v>
      </c>
      <c r="F28" s="102" t="str">
        <f t="shared" si="20"/>
        <v>azalazy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debosch  - (Германия) azalazy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debosch</v>
      </c>
      <c r="F29" s="102" t="str">
        <f t="shared" ref="F29:F34" si="25">$E$5</f>
        <v>CMEX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debosch  - (Нидерланды) CMEX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debosch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debosch  - (Нидерланды) CMEX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debosch</v>
      </c>
      <c r="F31" s="102" t="str">
        <f t="shared" si="25"/>
        <v>CMEX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debosch  - (Нидерланды) CMEX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azalazy</v>
      </c>
      <c r="F32" s="102" t="str">
        <f t="shared" si="25"/>
        <v>CMEX</v>
      </c>
      <c r="G32" s="94">
        <f t="shared" si="8"/>
        <v>2</v>
      </c>
      <c r="H32" s="96"/>
      <c r="I32" s="94">
        <f t="shared" si="26"/>
        <v>3</v>
      </c>
      <c r="J32" s="96"/>
      <c r="K32" s="102">
        <v>2.0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azalazy  - (Нидерланды) CMEX</v>
      </c>
      <c r="V32" s="11" t="str">
        <f t="shared" si="11"/>
        <v>2:3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azalazy</v>
      </c>
      <c r="F33" s="102" t="str">
        <f t="shared" si="25"/>
        <v>CMEX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azalazy  - (Нидерланды) CMEX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azalazy</v>
      </c>
      <c r="F34" s="102" t="str">
        <f t="shared" si="25"/>
        <v>CMEX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azalazy  - (Нидерланды) CMEX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azalazy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azalazy  - (Испания) debosch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azalazy</v>
      </c>
      <c r="F36" s="102" t="str">
        <f t="shared" si="30"/>
        <v>debosch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azalazy  - (Испания) debosch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azalazy</v>
      </c>
      <c r="F37" s="102" t="str">
        <f t="shared" si="30"/>
        <v>debosch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azalazy  - (Испания) debosch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CMEX</v>
      </c>
      <c r="F38" s="102" t="str">
        <f t="shared" si="30"/>
        <v>debosch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CMEX  - (Испания) debosch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CMEX</v>
      </c>
      <c r="F39" s="102" t="str">
        <f t="shared" si="30"/>
        <v>debosch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CMEX  - (Испания) debosch</v>
      </c>
      <c r="V39" s="11" t="str">
        <f t="shared" si="11"/>
        <v>2:4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CMEX</v>
      </c>
      <c r="F40" s="102" t="str">
        <f t="shared" si="30"/>
        <v>debosch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CMEX  - (Испания) debosch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CMEX</v>
      </c>
      <c r="F41" s="102" t="str">
        <f t="shared" ref="F41:F46" si="35">$E$6</f>
        <v>azalazy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CMEX  - (Германия) azalazy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CMEX</v>
      </c>
      <c r="F42" s="102" t="str">
        <f t="shared" si="35"/>
        <v>azalazy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CMEX  - (Германия) azalazy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CMEX</v>
      </c>
      <c r="F43" s="102" t="str">
        <f t="shared" si="35"/>
        <v>azalazy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CMEX  - (Германия) azalazy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debosch</v>
      </c>
      <c r="F44" s="102" t="str">
        <f t="shared" si="35"/>
        <v>azalazy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debosch  - (Германия) azalazy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debosch</v>
      </c>
      <c r="F45" s="102" t="str">
        <f t="shared" si="35"/>
        <v>azalazy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debosch  - (Германия) azalazy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debosch</v>
      </c>
      <c r="F46" s="102" t="str">
        <f t="shared" si="35"/>
        <v>azalazy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debosch  - (Германия) azalazy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7">
        <f t="array" ref="AJ3">SUM(('ТУР4'!home=AF3)*('ТУР4'!homescore&lt;'ТУР4'!visitorscore),('ТУР4'!visitor=AF3)*('ТУР4'!visitorscore&lt;'ТУР4'!homescore))</f>
        <v>12</v>
      </c>
      <c r="AK3" s="31">
        <f t="array" ref="AK3">SUMIF('ТУР4'!home,AF3,'ТУР4'!homescore)+SUMIF('ТУР4'!visitor,AF3,'ТУР4'!visitorscore)</f>
        <v>79</v>
      </c>
      <c r="AL3" s="32">
        <f t="array" ref="AL3">SUMIF('ТУР4'!home,AF3,'ТУР4'!visitorscore)+SUMIF('ТУР4'!visitor,AF3,'ТУР4'!homescore)</f>
        <v>90</v>
      </c>
      <c r="AM3" s="7">
        <f t="shared" ref="AM3:AM5" si="2">AK3-AL3</f>
        <v>-11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2599890079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6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71</v>
      </c>
      <c r="AB4" s="26">
        <f t="array" ref="AB4">VLOOKUP($U4,$AF$3:$AN$5,8,0)</f>
        <v>16</v>
      </c>
      <c r="AC4" s="26">
        <f t="array" ref="AC4">VLOOKUP($U4,$AF$3:$AN$5,9,0)</f>
        <v>45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3</v>
      </c>
      <c r="AJ4" s="7">
        <f t="array" ref="AJ4">SUM(('ТУР4'!home=AF4)*('ТУР4'!homescore&lt;'ТУР4'!visitorscore),('ТУР4'!visitor=AF4)*('ТУР4'!visitorscore&lt;'ТУР4'!homescore))</f>
        <v>12</v>
      </c>
      <c r="AK4" s="31">
        <f t="array" ref="AK4">SUMIF('ТУР4'!home,AF4,'ТУР4'!homescore)+SUMIF('ТУР4'!visitor,AF4,'ТУР4'!visitorscore)</f>
        <v>83</v>
      </c>
      <c r="AL4" s="32">
        <f t="array" ref="AL4">SUMIF('ТУР4'!home,AF4,'ТУР4'!visitorscore)+SUMIF('ТУР4'!visitor,AF4,'ТУР4'!homescore)</f>
        <v>88</v>
      </c>
      <c r="AM4" s="7">
        <f t="shared" si="2"/>
        <v>-5</v>
      </c>
      <c r="AN4" s="31">
        <f t="array" ref="AN4">AH4*Options!$B$2+AI4*Options!$B$3+AJ4*Options!$B$4+VLOOKUP(AF4,$E$4:$F$9,2,0)</f>
        <v>30</v>
      </c>
      <c r="AO4" s="11">
        <f t="shared" si="3"/>
        <v>2999950083</v>
      </c>
    </row>
    <row r="5">
      <c r="A5" s="11"/>
      <c r="B5" s="8"/>
      <c r="C5" s="33" t="s">
        <v>53</v>
      </c>
      <c r="D5" s="90" t="s">
        <v>47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3</v>
      </c>
      <c r="Y5" s="26">
        <f t="array" ref="Y5">VLOOKUP($U5,$AF$3:$AN$5,5,0)</f>
        <v>12</v>
      </c>
      <c r="Z5" s="26">
        <f t="array" ref="Z5">VLOOKUP($U5,$AF$3:$AN$5,6,0)</f>
        <v>83</v>
      </c>
      <c r="AA5" s="26">
        <f t="array" ref="AA5">VLOOKUP($U5,$AF$3:$AN$5,7,0)</f>
        <v>88</v>
      </c>
      <c r="AB5" s="26">
        <f t="array" ref="AB5">VLOOKUP($U5,$AF$3:$AN$5,8,0)</f>
        <v>-5</v>
      </c>
      <c r="AC5" s="26">
        <f t="array" ref="AC5">VLOOKUP($U5,$AF$3:$AN$5,9,0)</f>
        <v>30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13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87</v>
      </c>
      <c r="AL5" s="32">
        <f t="array" ref="AL5">SUMIF('ТУР4'!home,AF5,'ТУР4'!visitorscore)+SUMIF('ТУР4'!visitor,AF5,'ТУР4'!homescore)</f>
        <v>71</v>
      </c>
      <c r="AM5" s="7">
        <f t="shared" si="2"/>
        <v>16</v>
      </c>
      <c r="AN5" s="31">
        <f t="array" ref="AN5">AH5*Options!$B$2+AI5*Options!$B$3+AJ5*Options!$B$4+VLOOKUP(AF5,$E$4:$F$9,2,0)</f>
        <v>45</v>
      </c>
      <c r="AO5" s="11">
        <f t="shared" si="3"/>
        <v>4500160087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79</v>
      </c>
      <c r="AA6" s="26">
        <f t="array" ref="AA6">VLOOKUP($U6,$AF$3:$AN$5,7,0)</f>
        <v>90</v>
      </c>
      <c r="AB6" s="26">
        <f t="array" ref="AB6">VLOOKUP($U6,$AF$3:$AN$5,8,0)</f>
        <v>-11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debosch</v>
      </c>
      <c r="F11" s="102" t="str">
        <f t="shared" ref="F11:F16" si="7">$E$5</f>
        <v>CMEX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debosch  - (Португалия) CMEX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debosch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debosch  - (Португалия)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debosch</v>
      </c>
      <c r="F13" s="102" t="str">
        <f t="shared" si="7"/>
        <v>CMEX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debosch  - (Португалия) CMEX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azalazy</v>
      </c>
      <c r="F14" s="102" t="str">
        <f t="shared" si="7"/>
        <v>CMEX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azalazy  - (Португалия) CMEX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azalazy</v>
      </c>
      <c r="F15" s="102" t="str">
        <f t="shared" si="7"/>
        <v>CMEX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azalazy  - (Португалия) CMEX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azalazy</v>
      </c>
      <c r="F16" s="102" t="str">
        <f t="shared" si="7"/>
        <v>CMEX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azalazy  - (Португалия) CMEX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azalazy  - (Италия) debosch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debosch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azalazy  - (Италия) debosch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debosch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azalazy  - (Италия) debosch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debosch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CMEX  - (Италия) debosch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debosch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CMEX  - (Италия) debosch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debosch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CMEX  - (Италия) debosch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CMEX  - (Аргентина) azalazy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azalazy</v>
      </c>
      <c r="G24" s="94">
        <f t="shared" si="8"/>
        <v>2</v>
      </c>
      <c r="H24" s="96"/>
      <c r="I24" s="94">
        <f t="shared" si="21"/>
        <v>3</v>
      </c>
      <c r="J24" s="96"/>
      <c r="K24" s="102">
        <v>2.0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CMEX  - (Аргентина) azalazy</v>
      </c>
      <c r="V24" s="11" t="str">
        <f t="shared" si="11"/>
        <v>2:3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CMEX  - (Аргентина) azalazy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azalazy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debosch  - (Аргентина) azalazy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azalazy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debosch  - (Аргентина) azalazy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azalazy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debosch  - (Аргентина) azalazy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debosch</v>
      </c>
      <c r="F29" s="102" t="str">
        <f t="shared" ref="F29:F34" si="25">$E$5</f>
        <v>CMEX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debosch  - (Португалия) CMEX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debosch</v>
      </c>
      <c r="F30" s="102" t="str">
        <f t="shared" si="25"/>
        <v>CMEX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debosch  - (Португалия) CMEX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debosch</v>
      </c>
      <c r="F31" s="102" t="str">
        <f t="shared" si="25"/>
        <v>CMEX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debosch  - (Португалия) CMEX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azalazy</v>
      </c>
      <c r="F32" s="102" t="str">
        <f t="shared" si="25"/>
        <v>CMEX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azalazy  - (Португалия) CMEX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azalazy</v>
      </c>
      <c r="F33" s="102" t="str">
        <f t="shared" si="25"/>
        <v>CMEX</v>
      </c>
      <c r="G33" s="94">
        <f t="shared" si="8"/>
        <v>2</v>
      </c>
      <c r="H33" s="96"/>
      <c r="I33" s="94">
        <f t="shared" si="26"/>
        <v>3</v>
      </c>
      <c r="J33" s="96">
        <v>5.0</v>
      </c>
      <c r="K33" s="102">
        <v>2.0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azalazy  - (Португалия) CMEX</v>
      </c>
      <c r="V33" s="11" t="str">
        <f t="shared" si="11"/>
        <v>2:3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azalazy</v>
      </c>
      <c r="F34" s="102" t="str">
        <f t="shared" si="25"/>
        <v>CMEX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azalazy  - (Португалия) CMEX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azalazy  - (Италия) debosch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debosch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azalazy  - (Италия) debosch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debosch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azalazy  - (Италия) debosch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debosch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CMEX  - (Италия) debosch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debosch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CMEX  - (Италия) debosch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debosch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CMEX  - (Италия) debosch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azalazy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CMEX  - (Аргентина) azalazy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azalazy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CMEX  - (Аргентина) azalazy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azalazy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CMEX  - (Аргентина) azalazy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debosch  - (Аргентина) azalazy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azalazy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debosch  - (Аргентина) azalazy</v>
      </c>
      <c r="V45" s="11" t="str">
        <f t="shared" si="11"/>
        <v>5:5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azalazy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48</v>
      </c>
      <c r="L46" s="102" t="s">
        <v>48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debosch  - (Аргентина) azalazy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11</v>
      </c>
      <c r="AK3" s="31">
        <f t="array" ref="AK3">SUMIF('ТУР5'!home,AF3,'ТУР5'!homescore)+SUMIF('ТУР5'!visitor,AF3,'ТУР5'!visitorscore)</f>
        <v>73</v>
      </c>
      <c r="AL3" s="32">
        <f t="array" ref="AL3">SUMIF('ТУР5'!home,AF3,'ТУР5'!visitorscore)+SUMIF('ТУР5'!visitor,AF3,'ТУР5'!homescore)</f>
        <v>79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2499940073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83</v>
      </c>
      <c r="AA4" s="26">
        <f t="array" ref="AA4">VLOOKUP($U4,$AF$3:$AN$5,7,0)</f>
        <v>78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CMEX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11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83</v>
      </c>
      <c r="AL4" s="32">
        <f t="array" ref="AL4">SUMIF('ТУР5'!home,AF4,'ТУР5'!visitorscore)+SUMIF('ТУР5'!visitor,AF4,'ТУР5'!homescore)</f>
        <v>78</v>
      </c>
      <c r="AM4" s="7">
        <f t="shared" si="2"/>
        <v>5</v>
      </c>
      <c r="AN4" s="31">
        <f t="array" ref="AN4">AH4*Options!$B$2+AI4*Options!$B$3+AJ4*Options!$B$4+VLOOKUP(AF4,$E$4:$F$9,2,0)</f>
        <v>38</v>
      </c>
      <c r="AO4" s="11">
        <f t="shared" si="3"/>
        <v>3800050083</v>
      </c>
    </row>
    <row r="5">
      <c r="A5" s="11"/>
      <c r="B5" s="8"/>
      <c r="C5" s="33" t="s">
        <v>53</v>
      </c>
      <c r="D5" s="111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72</v>
      </c>
      <c r="AB5" s="26">
        <f t="array" ref="AB5">VLOOKUP($U5,$AF$3:$AN$5,8,0)</f>
        <v>1</v>
      </c>
      <c r="AC5" s="26">
        <f t="array" ref="AC5">VLOOKUP($U5,$AF$3:$AN$5,9,0)</f>
        <v>36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73</v>
      </c>
      <c r="AL5" s="32">
        <f t="array" ref="AL5">SUMIF('ТУР5'!home,AF5,'ТУР5'!visitorscore)+SUMIF('ТУР5'!visitor,AF5,'ТУР5'!homescore)</f>
        <v>72</v>
      </c>
      <c r="AM5" s="7">
        <f t="shared" si="2"/>
        <v>1</v>
      </c>
      <c r="AN5" s="31">
        <f t="array" ref="AN5">AH5*Options!$B$2+AI5*Options!$B$3+AJ5*Options!$B$4+VLOOKUP(AF5,$E$4:$F$9,2,0)</f>
        <v>36</v>
      </c>
      <c r="AO5" s="11">
        <f t="shared" si="3"/>
        <v>3600010073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73</v>
      </c>
      <c r="AA6" s="26">
        <f t="array" ref="AA6">VLOOKUP($U6,$AF$3:$AN$5,7,0)</f>
        <v>79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debosch</v>
      </c>
      <c r="F11" s="102" t="str">
        <f t="shared" ref="F11:F16" si="7">$E$5</f>
        <v>CMEX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debosch  - (Германия) CMEX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debosch</v>
      </c>
      <c r="F12" s="102" t="str">
        <f t="shared" si="7"/>
        <v>CMEX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debosch  - (Германия) CMEX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debosch</v>
      </c>
      <c r="F13" s="102" t="str">
        <f t="shared" si="7"/>
        <v>CMEX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debosch  - (Германия) CMEX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azalazy</v>
      </c>
      <c r="F14" s="102" t="str">
        <f t="shared" si="7"/>
        <v>CMEX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48</v>
      </c>
      <c r="L14" s="102" t="s">
        <v>48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azalazy  - (Германия) CMEX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azalazy</v>
      </c>
      <c r="F15" s="102" t="str">
        <f t="shared" si="7"/>
        <v>CMEX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azalazy  - (Германия) CMEX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azalazy</v>
      </c>
      <c r="F16" s="102" t="str">
        <f t="shared" si="7"/>
        <v>CMEX</v>
      </c>
      <c r="G16" s="94">
        <f t="shared" si="8"/>
        <v>4</v>
      </c>
      <c r="H16" s="96"/>
      <c r="I16" s="94">
        <f t="shared" si="9"/>
        <v>5</v>
      </c>
      <c r="J16" s="96">
        <v>4.0</v>
      </c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azalazy  - (Германия) CMEX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debosch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azalazy  - (Италия) debosch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debosch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48</v>
      </c>
      <c r="L18" s="102" t="s">
        <v>48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azalazy  - (Италия) debosch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debosch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azalazy  - (Италия) debosch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CMEX</v>
      </c>
      <c r="F20" s="102" t="str">
        <f t="shared" si="15"/>
        <v>debosch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CMEX  - (Италия) debosch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CMEX</v>
      </c>
      <c r="F21" s="102" t="str">
        <f t="shared" si="15"/>
        <v>debosch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CMEX  - (Италия) debosch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CMEX</v>
      </c>
      <c r="F22" s="102" t="str">
        <f t="shared" si="15"/>
        <v>debosch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CMEX  - (Италия) debosch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CMEX</v>
      </c>
      <c r="F23" s="102" t="str">
        <f t="shared" ref="F23:F28" si="20">$E$6</f>
        <v>azalazy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CMEX  - (Аргентина) azalazy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CMEX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CMEX  - (Аргентина) azalazy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CMEX</v>
      </c>
      <c r="F25" s="102" t="str">
        <f t="shared" si="20"/>
        <v>azalazy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CMEX  - (Аргентина) azalazy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debosch</v>
      </c>
      <c r="F26" s="102" t="str">
        <f t="shared" si="20"/>
        <v>azalazy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debosch  - (Аргентина) azalazy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debosch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debosch  - (Аргентина) azalazy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debosch</v>
      </c>
      <c r="F28" s="102" t="str">
        <f t="shared" si="20"/>
        <v>azalazy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debosch  - (Аргентина) azalazy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debosch</v>
      </c>
      <c r="F29" s="102" t="str">
        <f t="shared" ref="F29:F34" si="25">$E$5</f>
        <v>CMEX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debosch  - (Германия) CMEX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debosch</v>
      </c>
      <c r="F30" s="102" t="str">
        <f t="shared" si="25"/>
        <v>CMEX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debosch  - (Германия) CMEX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debosch</v>
      </c>
      <c r="F31" s="102" t="str">
        <f t="shared" si="25"/>
        <v>CMEX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debosch  - (Германия) CMEX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azalazy</v>
      </c>
      <c r="F32" s="102" t="str">
        <f t="shared" si="25"/>
        <v>CMEX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azalazy  - (Германия) CMEX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azalazy</v>
      </c>
      <c r="F33" s="102" t="str">
        <f t="shared" si="25"/>
        <v>CMEX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azalazy  - (Германия) CMEX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azalazy</v>
      </c>
      <c r="F34" s="102" t="str">
        <f t="shared" si="25"/>
        <v>CMEX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azalazy  - (Германия) CMEX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debosch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azalazy  - (Италия) debosch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debosch</v>
      </c>
      <c r="G36" s="94">
        <f t="shared" si="8"/>
        <v>3</v>
      </c>
      <c r="H36" s="96"/>
      <c r="I36" s="94">
        <f t="shared" si="31"/>
        <v>2</v>
      </c>
      <c r="J36" s="96"/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azalazy  - (Италия) debosch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debosch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48</v>
      </c>
      <c r="L37" s="102" t="s">
        <v>48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azalazy  - (Италия) debosch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CMEX</v>
      </c>
      <c r="F38" s="102" t="str">
        <f t="shared" si="30"/>
        <v>debosch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CMEX  - (Италия) debosch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CMEX</v>
      </c>
      <c r="F39" s="102" t="str">
        <f t="shared" si="30"/>
        <v>debosch</v>
      </c>
      <c r="G39" s="94">
        <f t="shared" si="8"/>
        <v>3</v>
      </c>
      <c r="H39" s="11"/>
      <c r="I39" s="94">
        <f t="shared" si="31"/>
        <v>0</v>
      </c>
      <c r="J39" s="11"/>
      <c r="K39" s="102">
        <v>3.0</v>
      </c>
      <c r="L39" s="102">
        <v>0.0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CMEX  - (Италия) debosch</v>
      </c>
      <c r="V39" s="11" t="str">
        <f t="shared" si="11"/>
        <v>3:0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CMEX</v>
      </c>
      <c r="F40" s="102" t="str">
        <f t="shared" si="30"/>
        <v>debosch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CMEX  - (Италия) debosch</v>
      </c>
      <c r="V40" s="11" t="str">
        <f t="shared" si="11"/>
        <v>3:0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CMEX</v>
      </c>
      <c r="F41" s="102" t="str">
        <f t="shared" ref="F41:F46" si="35">$E$6</f>
        <v>azalazy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CMEX  - (Аргентина) azalazy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CMEX</v>
      </c>
      <c r="F42" s="102" t="str">
        <f t="shared" si="35"/>
        <v>azalazy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CMEX  - (Аргентина) azalazy</v>
      </c>
      <c r="V42" s="11" t="str">
        <f t="shared" si="11"/>
        <v>2:3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CMEX</v>
      </c>
      <c r="F43" s="102" t="str">
        <f t="shared" si="35"/>
        <v>azalazy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CMEX  - (Аргентина) azalazy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debosch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debosch  - (Аргентина) azalazy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debosch</v>
      </c>
      <c r="F45" s="102" t="str">
        <f t="shared" si="35"/>
        <v>azalazy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debosch  - (Аргентина) azalazy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debosch</v>
      </c>
      <c r="F46" s="102" t="str">
        <f t="shared" si="35"/>
        <v>azalazy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debosch  - (Аргентина) azalazy</v>
      </c>
      <c r="V46" s="11" t="str">
        <f t="shared" si="11"/>
        <v>2:3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13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93</v>
      </c>
      <c r="AL3" s="32">
        <f t="array" ref="AL3">SUMIF('ТУР6'!home,AF3,'ТУР6'!visitorscore)+SUMIF('ТУР6'!visitor,AF3,'ТУР6'!homescore)</f>
        <v>75</v>
      </c>
      <c r="AM3" s="7">
        <f t="shared" ref="AM3:AM5" si="2">AK3-AL3</f>
        <v>18</v>
      </c>
      <c r="AN3" s="31">
        <f t="array" ref="AN3">AH3*Options!$B$2+AI3*Options!$B$3+AJ3*Options!$B$4+VLOOKUP(AF3,$E$4:$F$9,2,0)</f>
        <v>45</v>
      </c>
      <c r="AO3" s="11">
        <f t="shared" ref="AO3:AO5" si="3">AK3+AM3*10000+AN3*100000000</f>
        <v>4500180093</v>
      </c>
    </row>
    <row r="4">
      <c r="A4" s="11"/>
      <c r="B4" s="8"/>
      <c r="C4" s="112" t="s">
        <v>60</v>
      </c>
      <c r="D4" s="113" t="s">
        <v>45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6</v>
      </c>
      <c r="Y4" s="26">
        <f t="array" ref="Y4">VLOOKUP($U4,$AF$3:$AN$5,5,0)</f>
        <v>5</v>
      </c>
      <c r="Z4" s="26">
        <f t="array" ref="Z4">VLOOKUP($U4,$AF$3:$AN$5,6,0)</f>
        <v>93</v>
      </c>
      <c r="AA4" s="26">
        <f t="array" ref="AA4">VLOOKUP($U4,$AF$3:$AN$5,7,0)</f>
        <v>75</v>
      </c>
      <c r="AB4" s="26">
        <f t="array" ref="AB4">VLOOKUP($U4,$AF$3:$AN$5,8,0)</f>
        <v>18</v>
      </c>
      <c r="AC4" s="26">
        <f t="array" ref="AC4">VLOOKUP($U4,$AF$3:$AN$5,9,0)</f>
        <v>45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5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80</v>
      </c>
      <c r="AL4" s="32">
        <f t="array" ref="AL4">SUMIF('ТУР6'!home,AF4,'ТУР6'!visitorscore)+SUMIF('ТУР6'!visitor,AF4,'ТУР6'!homescore)</f>
        <v>88</v>
      </c>
      <c r="AM4" s="7">
        <f t="shared" si="2"/>
        <v>-8</v>
      </c>
      <c r="AN4" s="31">
        <f t="array" ref="AN4">AH4*Options!$B$2+AI4*Options!$B$3+AJ4*Options!$B$4+VLOOKUP(AF4,$E$4:$F$9,2,0)</f>
        <v>25</v>
      </c>
      <c r="AO4" s="11">
        <f t="shared" si="3"/>
        <v>2499920080</v>
      </c>
    </row>
    <row r="5">
      <c r="A5" s="11"/>
      <c r="B5" s="8"/>
      <c r="C5" s="33" t="s">
        <v>62</v>
      </c>
      <c r="D5" s="113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10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88</v>
      </c>
      <c r="AB5" s="26">
        <f t="array" ref="AB5">VLOOKUP($U5,$AF$3:$AN$5,8,0)</f>
        <v>-8</v>
      </c>
      <c r="AC5" s="26">
        <f t="array" ref="AC5">VLOOKUP($U5,$AF$3:$AN$5,9,0)</f>
        <v>25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75</v>
      </c>
      <c r="AL5" s="32">
        <f t="array" ref="AL5">SUMIF('ТУР6'!home,AF5,'ТУР6'!visitorscore)+SUMIF('ТУР6'!visitor,AF5,'ТУР6'!homescore)</f>
        <v>85</v>
      </c>
      <c r="AM5" s="7">
        <f t="shared" si="2"/>
        <v>-10</v>
      </c>
      <c r="AN5" s="31">
        <f t="array" ref="AN5">AH5*Options!$B$2+AI5*Options!$B$3+AJ5*Options!$B$4+VLOOKUP(AF5,$E$4:$F$9,2,0)</f>
        <v>25</v>
      </c>
      <c r="AO5" s="11">
        <f t="shared" si="3"/>
        <v>2499900075</v>
      </c>
    </row>
    <row r="6">
      <c r="A6" s="11"/>
      <c r="B6" s="8"/>
      <c r="C6" s="33" t="s">
        <v>64</v>
      </c>
      <c r="D6" s="113" t="s">
        <v>47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85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tamashii  - (Англия) masterp1ece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tamashii  - (Англия) masterp1ece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tamashii  - (Англия)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Ashao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Ashao  - (Англия)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Ashao</v>
      </c>
      <c r="F15" s="102" t="str">
        <f t="shared" si="7"/>
        <v>masterp1ece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48</v>
      </c>
      <c r="L15" s="102" t="s">
        <v>48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Ashao  - (Англия) masterp1ece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Ashao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Ashao  - (Англия) masterp1ece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Ashao</v>
      </c>
      <c r="F17" s="102" t="str">
        <f t="shared" ref="F17:F22" si="15">$E$4</f>
        <v>tamashii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Ashao  - (Нидерланды) tamashii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Ashao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Ashao  - (Нидерланды)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Ashao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Ashao  - (Нидерланды) tamashii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masterp1ece  - (Нидерланды) tamashii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masterp1ece  - (Нидерланды) tamashii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0</v>
      </c>
      <c r="H22" s="96"/>
      <c r="I22" s="94">
        <f t="shared" si="16"/>
        <v>3</v>
      </c>
      <c r="J22" s="96"/>
      <c r="K22" s="102">
        <v>0.0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masterp1ece  - (Нидерланды) tamashii</v>
      </c>
      <c r="V22" s="11" t="str">
        <f t="shared" si="11"/>
        <v>0:3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masterp1ece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masterp1ece  - (Португалия) Ashao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masterp1ece</v>
      </c>
      <c r="F24" s="102" t="str">
        <f t="shared" si="20"/>
        <v>Ashao</v>
      </c>
      <c r="G24" s="94">
        <f t="shared" si="8"/>
        <v>2</v>
      </c>
      <c r="H24" s="96"/>
      <c r="I24" s="94">
        <f t="shared" si="21"/>
        <v>2</v>
      </c>
      <c r="J24" s="96"/>
      <c r="K24" s="102">
        <v>2.0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masterp1ece  - (Португалия) Ashao</v>
      </c>
      <c r="V24" s="11" t="str">
        <f t="shared" si="11"/>
        <v>2:2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masterp1ece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masterp1ece  - (Португалия) Ashao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tamashii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1</v>
      </c>
      <c r="J26" s="96"/>
      <c r="K26" s="109">
        <v>4.0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tamashii  - (Португалия) Ashao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tamashii</v>
      </c>
      <c r="F27" s="102" t="str">
        <f t="shared" si="20"/>
        <v>Ashao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tamashii  - (Португалия) Ashao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tamashii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0</v>
      </c>
      <c r="J28" s="96"/>
      <c r="K28" s="102">
        <v>3.0</v>
      </c>
      <c r="L28" s="102">
        <v>0.0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tamashii  - (Португалия) Ashao</v>
      </c>
      <c r="V28" s="11" t="str">
        <f t="shared" si="11"/>
        <v>3:0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tamashii  - (Англия) masterp1ece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tamashii  - (Англия) masterp1ece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tamashii  - (Англия)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Ashao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Ashao  - (Англия) masterp1ece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Ashao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3</v>
      </c>
      <c r="J33" s="96">
        <v>5.0</v>
      </c>
      <c r="K33" s="102">
        <v>4.0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Ashao  - (Англия) masterp1ece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Ashao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Ashao  - (Англия) masterp1ece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Ashao</v>
      </c>
      <c r="F35" s="102" t="str">
        <f t="shared" ref="F35:F40" si="30">$E$4</f>
        <v>tamashii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Ashao  - (Нидерланды) tamashii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Ashao</v>
      </c>
      <c r="F36" s="102" t="str">
        <f t="shared" si="30"/>
        <v>tamashii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Ashao  - (Нидерланды) tamashii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Ashao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Ashao  - (Нидерланды)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masterp1ece  - (Нидерланды) tamashii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masterp1ece  - (Нидерланды) tamashii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masterp1ece  - (Нидерланды) tamashii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masterp1ece</v>
      </c>
      <c r="F41" s="102" t="str">
        <f t="shared" ref="F41:F46" si="35">$E$6</f>
        <v>Ashao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masterp1ece  - (Португалия) Ashao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masterp1ece</v>
      </c>
      <c r="F42" s="102" t="str">
        <f t="shared" si="35"/>
        <v>Ashao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masterp1ece  - (Португалия) Ashao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masterp1ece</v>
      </c>
      <c r="F43" s="102" t="str">
        <f t="shared" si="35"/>
        <v>Ashao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masterp1ece  - (Португалия) Ashao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tamashii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tamashii  - (Португалия) Ashao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tamashii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tamashii  - (Португалия) Ashao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tamashii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tamashii  - (Португалия) Ashao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90</v>
      </c>
      <c r="AL3" s="32">
        <f t="array" ref="AL3">SUMIF('ТУР7'!home,AF3,'ТУР7'!visitorscore)+SUMIF('ТУР7'!visitor,AF3,'ТУР7'!homescore)</f>
        <v>87</v>
      </c>
      <c r="AM3" s="7">
        <f t="shared" ref="AM3:AM5" si="2">AK3-AL3</f>
        <v>3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3500030090</v>
      </c>
    </row>
    <row r="4">
      <c r="A4" s="11"/>
      <c r="B4" s="8"/>
      <c r="C4" s="33" t="s">
        <v>60</v>
      </c>
      <c r="D4" s="90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90</v>
      </c>
      <c r="AA4" s="26">
        <f t="array" ref="AA4">VLOOKUP($U4,$AF$3:$AN$5,7,0)</f>
        <v>87</v>
      </c>
      <c r="AB4" s="26">
        <f t="array" ref="AB4">VLOOKUP($U4,$AF$3:$AN$5,8,0)</f>
        <v>3</v>
      </c>
      <c r="AC4" s="26">
        <f t="array" ref="AC4">VLOOKUP($U4,$AF$3:$AN$5,9,0)</f>
        <v>35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76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3200010077</v>
      </c>
    </row>
    <row r="5">
      <c r="A5" s="11"/>
      <c r="B5" s="8"/>
      <c r="C5" s="33" t="s">
        <v>62</v>
      </c>
      <c r="D5" s="90" t="s">
        <v>45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76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77</v>
      </c>
      <c r="AL5" s="32">
        <f t="array" ref="AL5">SUMIF('ТУР7'!home,AF5,'ТУР7'!visitorscore)+SUMIF('ТУР7'!visitor,AF5,'ТУР7'!homescore)</f>
        <v>81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2699960077</v>
      </c>
    </row>
    <row r="6">
      <c r="A6" s="11"/>
      <c r="B6" s="8"/>
      <c r="C6" s="114" t="s">
        <v>64</v>
      </c>
      <c r="D6" s="90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77</v>
      </c>
      <c r="AA6" s="26">
        <f t="array" ref="AA6">VLOOKUP($U6,$AF$3:$AN$5,7,0)</f>
        <v>81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tamashii  - (Нидерланды)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tamashii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tamashii  - (Нидерланды)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Ashao  - (Нидерланды)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masterp1ece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48</v>
      </c>
      <c r="L15" s="102" t="s">
        <v>48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Ashao  - (Нидерланды) masterp1ece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Ashao  - (Нидерланды) masterp1ece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tamashii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Ashao  - (Испания) tamashii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tamashii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Ashao  - (Испания) tamashii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Ashao  - (Испания) tamashii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3</v>
      </c>
      <c r="H20" s="96"/>
      <c r="I20" s="94">
        <f t="shared" si="16"/>
        <v>0</v>
      </c>
      <c r="J20" s="96"/>
      <c r="K20" s="102">
        <v>3.0</v>
      </c>
      <c r="L20" s="102">
        <v>0.0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masterp1ece  - (Испания) tamashii</v>
      </c>
      <c r="V20" s="11" t="str">
        <f t="shared" si="11"/>
        <v>3:0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masterp1ece  - (Испания) tamashii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masterp1ece  - (Испания) tamashii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masterp1ece  - (Германия)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Ashao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48</v>
      </c>
      <c r="L24" s="102" t="s">
        <v>48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masterp1ece  - (Германия) Ashao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Ashao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masterp1ece  - (Германия) Ashao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tamashii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tamashii  - (Германия) Ashao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tamashii</v>
      </c>
      <c r="F27" s="102" t="str">
        <f t="shared" si="20"/>
        <v>Ashao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tamashii  - (Германия) Ashao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tamashii</v>
      </c>
      <c r="F28" s="102" t="str">
        <f t="shared" si="20"/>
        <v>Ashao</v>
      </c>
      <c r="G28" s="94">
        <f t="shared" si="8"/>
        <v>3</v>
      </c>
      <c r="H28" s="96"/>
      <c r="I28" s="94">
        <f t="shared" si="21"/>
        <v>1</v>
      </c>
      <c r="J28" s="96"/>
      <c r="K28" s="102">
        <v>3.0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tamashii  - (Германия) Ashao</v>
      </c>
      <c r="V28" s="11" t="str">
        <f t="shared" si="11"/>
        <v>3:1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tamashii  - (Нидерланды) masterp1ece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tamashii  - (Нидерланды) masterp1ece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tamashii  - (Нидерланды)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masterp1ece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Ashao  - (Нидерланды) masterp1ece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Ashao  - (Нидерланды) masterp1ece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masterp1ece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Ashao  - (Нидерланды) masterp1ece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tamashii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Ashao  - (Испания) tamashii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tamashii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Ashao  - (Испания) tamashii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Ashao  - (Испания) tamashii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masterp1ece  - (Испания) tamashii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masterp1ece  - (Испания) tamashii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masterp1ece  - (Испания) tamashii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Ashao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48</v>
      </c>
      <c r="L41" s="102" t="s">
        <v>48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masterp1ece  - (Германия) Ashao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Ashao</v>
      </c>
      <c r="G42" s="94">
        <f t="shared" si="8"/>
        <v>1</v>
      </c>
      <c r="H42" s="11"/>
      <c r="I42" s="94">
        <f t="shared" si="31"/>
        <v>3</v>
      </c>
      <c r="J42" s="11"/>
      <c r="K42" s="102">
        <v>1.0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masterp1ece  - (Германия) Ashao</v>
      </c>
      <c r="V42" s="11" t="str">
        <f t="shared" si="11"/>
        <v>1:3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Ashao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masterp1ece  - (Германия) Ashao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tamashii</v>
      </c>
      <c r="F44" s="102" t="str">
        <f t="shared" si="35"/>
        <v>Ashao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tamashii  - (Германия) Ashao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tamashii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1</v>
      </c>
      <c r="J45" s="11"/>
      <c r="K45" s="102">
        <v>3.0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tamashii  - (Германия) Ashao</v>
      </c>
      <c r="V45" s="11" t="str">
        <f t="shared" si="11"/>
        <v>3:1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tamashii</v>
      </c>
      <c r="F46" s="102" t="str">
        <f t="shared" si="35"/>
        <v>Ashao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tamashii  - (Германия) Ashao</v>
      </c>
      <c r="V46" s="11" t="str">
        <f t="shared" si="11"/>
        <v>5:5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tamashii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70</v>
      </c>
      <c r="AM3" s="7">
        <f t="shared" ref="AM3:AM5" si="2">AK3-AL3</f>
        <v>8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3800080078</v>
      </c>
    </row>
    <row r="4">
      <c r="A4" s="11"/>
      <c r="B4" s="8"/>
      <c r="C4" s="33" t="s">
        <v>60</v>
      </c>
      <c r="D4" s="90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70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9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77</v>
      </c>
      <c r="AL4" s="32">
        <f t="array" ref="AL4">SUMIF('ТУР8'!home,AF4,'ТУР8'!visitorscore)+SUMIF('ТУР8'!visitor,AF4,'ТУР8'!homescore)</f>
        <v>74</v>
      </c>
      <c r="AM4" s="7">
        <f t="shared" si="2"/>
        <v>3</v>
      </c>
      <c r="AN4" s="31">
        <f t="array" ref="AN4">AH4*Options!$B$2+AI4*Options!$B$3+AJ4*Options!$B$4+VLOOKUP(AF4,$E$4:$F$9,2,0)</f>
        <v>35</v>
      </c>
      <c r="AO4" s="11">
        <f t="shared" si="3"/>
        <v>3500030077</v>
      </c>
    </row>
    <row r="5">
      <c r="A5" s="11"/>
      <c r="B5" s="8"/>
      <c r="C5" s="33" t="s">
        <v>62</v>
      </c>
      <c r="D5" s="90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74</v>
      </c>
      <c r="AB5" s="26">
        <f t="array" ref="AB5">VLOOKUP($U5,$AF$3:$AN$5,8,0)</f>
        <v>3</v>
      </c>
      <c r="AC5" s="26">
        <f t="array" ref="AC5">VLOOKUP($U5,$AF$3:$AN$5,9,0)</f>
        <v>35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10</v>
      </c>
      <c r="AK5" s="31">
        <f t="array" ref="AK5">SUMIF('ТУР8'!home,AF5,'ТУР8'!homescore)+SUMIF('ТУР8'!visitor,AF5,'ТУР8'!visitorscore)</f>
        <v>73</v>
      </c>
      <c r="AL5" s="32">
        <f t="array" ref="AL5">SUMIF('ТУР8'!home,AF5,'ТУР8'!visitorscore)+SUMIF('ТУР8'!visitor,AF5,'ТУР8'!homescore)</f>
        <v>84</v>
      </c>
      <c r="AM5" s="7">
        <f t="shared" si="2"/>
        <v>-11</v>
      </c>
      <c r="AN5" s="31">
        <f t="array" ref="AN5">AH5*Options!$B$2+AI5*Options!$B$3+AJ5*Options!$B$4+VLOOKUP(AF5,$E$4:$F$9,2,0)</f>
        <v>22</v>
      </c>
      <c r="AO5" s="11">
        <f t="shared" si="3"/>
        <v>2199890073</v>
      </c>
    </row>
    <row r="6">
      <c r="A6" s="11"/>
      <c r="B6" s="8"/>
      <c r="C6" s="114" t="s">
        <v>64</v>
      </c>
      <c r="D6" s="90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73</v>
      </c>
      <c r="AA6" s="26">
        <f t="array" ref="AA6">VLOOKUP($U6,$AF$3:$AN$5,7,0)</f>
        <v>84</v>
      </c>
      <c r="AB6" s="26">
        <f t="array" ref="AB6">VLOOKUP($U6,$AF$3:$AN$5,8,0)</f>
        <v>-11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tamashii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2</v>
      </c>
      <c r="J11" s="96"/>
      <c r="K11" s="102">
        <v>3.0</v>
      </c>
      <c r="L11" s="102">
        <v>2.0</v>
      </c>
      <c r="M11" s="97">
        <v>2.0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tamashii  - (Португалия) masterp1ece</v>
      </c>
      <c r="V11" s="11" t="str">
        <f t="shared" ref="V11:V46" si="11">TEXT(G11,"0")&amp;":"&amp;TEXT(I11,"0")</f>
        <v>3:2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tamashii</v>
      </c>
      <c r="F12" s="102" t="str">
        <f t="shared" si="7"/>
        <v>masterp1ece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tamashii  - (Португалия)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tamashii</v>
      </c>
      <c r="F13" s="102" t="str">
        <f t="shared" si="7"/>
        <v>masterp1ece</v>
      </c>
      <c r="G13" s="94">
        <f t="shared" si="8"/>
        <v>2</v>
      </c>
      <c r="H13" s="96"/>
      <c r="I13" s="94">
        <f t="shared" si="9"/>
        <v>3</v>
      </c>
      <c r="J13" s="96"/>
      <c r="K13" s="102">
        <v>2.0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tamashii  - (Португалия) masterp1ece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masterp1ece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48</v>
      </c>
      <c r="L14" s="102" t="s">
        <v>48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Ashao  - (Португалия) masterp1ece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masterp1ece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Ashao  - (Португалия) masterp1ece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Ashao  - (Португалия) masterp1ece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tamashii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Ashao  - (Италия) tamashii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tamashii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Ashao  - (Италия) tamashii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tamashii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Ashao  - (Италия) tamashii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tamashii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masterp1ece  - (Италия) tamashii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tamashii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masterp1ece  - (Италия) tamashii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tamashii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masterp1ece  - (Италия) tamashii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masterp1ece  - (Аргентина)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masterp1ece  - (Аргентина) Ashao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Ashao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masterp1ece  - (Аргентина) Ashao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tamashii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tamashii  - (Аргентина) Ashao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tamashii</v>
      </c>
      <c r="F27" s="102" t="str">
        <f t="shared" si="20"/>
        <v>Ashao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48</v>
      </c>
      <c r="L27" s="109" t="s">
        <v>48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tamashii  - (Аргентина) Ashao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tamashii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tamashii  - (Аргентина) Ashao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tamashii</v>
      </c>
      <c r="F29" s="102" t="str">
        <f t="shared" ref="F29:F34" si="25">$E$5</f>
        <v>masterp1ece</v>
      </c>
      <c r="G29" s="94">
        <f t="shared" si="8"/>
        <v>0</v>
      </c>
      <c r="H29" s="96"/>
      <c r="I29" s="94">
        <f t="shared" si="21"/>
        <v>3</v>
      </c>
      <c r="J29" s="94"/>
      <c r="K29" s="110">
        <v>0.0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tamashii  - (Португалия) masterp1ece</v>
      </c>
      <c r="V29" s="11" t="str">
        <f t="shared" si="11"/>
        <v>0:3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tamashii</v>
      </c>
      <c r="F30" s="102" t="str">
        <f t="shared" si="25"/>
        <v>masterp1ece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tamashii  - (Португалия) masterp1ece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tamashii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tamashii  - (Португалия)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masterp1ece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Ashao  - (Португалия) masterp1ece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Ashao  - (Португалия) masterp1ece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masterp1ece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Ashao  - (Португалия) masterp1ece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tamashii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Ashao  - (Италия) tamashii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tamashii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Ashao  - (Италия) tamashii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tamashii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Ashao  - (Италия) tamashii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tamashii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48</v>
      </c>
      <c r="L38" s="102" t="s">
        <v>48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masterp1ece  - (Италия) tamashii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tamashii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masterp1ece  - (Италия) tamashii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tamashii</v>
      </c>
      <c r="G40" s="94">
        <f t="shared" si="8"/>
        <v>1</v>
      </c>
      <c r="H40" s="11"/>
      <c r="I40" s="94">
        <f t="shared" si="31"/>
        <v>3</v>
      </c>
      <c r="J40" s="11"/>
      <c r="K40" s="102">
        <v>1.0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masterp1ece  - (Италия) tamashii</v>
      </c>
      <c r="V40" s="11" t="str">
        <f t="shared" si="11"/>
        <v>1:3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masterp1ece  - (Аргентина) Ashao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Ashao</v>
      </c>
      <c r="G42" s="94">
        <f t="shared" si="8"/>
        <v>1</v>
      </c>
      <c r="H42" s="11"/>
      <c r="I42" s="94">
        <f t="shared" si="31"/>
        <v>3</v>
      </c>
      <c r="J42" s="11"/>
      <c r="K42" s="102">
        <v>1.0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masterp1ece  - (Аргентина) Ashao</v>
      </c>
      <c r="V42" s="11" t="str">
        <f t="shared" si="11"/>
        <v>1:3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masterp1ece  - (Аргентина) Ashao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tamashii</v>
      </c>
      <c r="F44" s="102" t="str">
        <f t="shared" si="35"/>
        <v>Ashao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tamashii  - (Аргентина) Ashao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tamashii</v>
      </c>
      <c r="F45" s="102" t="str">
        <f t="shared" si="35"/>
        <v>Ashao</v>
      </c>
      <c r="G45" s="94">
        <f t="shared" si="8"/>
        <v>3</v>
      </c>
      <c r="H45" s="11"/>
      <c r="I45" s="94">
        <f t="shared" si="31"/>
        <v>0</v>
      </c>
      <c r="J45" s="11"/>
      <c r="K45" s="102">
        <v>3.0</v>
      </c>
      <c r="L45" s="102">
        <v>0.0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tamashii  - (Аргентина) Ashao</v>
      </c>
      <c r="V45" s="11" t="str">
        <f t="shared" si="11"/>
        <v>3:0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tamashii</v>
      </c>
      <c r="F46" s="102" t="str">
        <f t="shared" si="35"/>
        <v>Ashao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tamashii  - (Аргентина) Ashao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42</v>
      </c>
      <c r="D48" s="78"/>
      <c r="E48" s="78"/>
      <c r="F48" s="78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