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<sst xmlns="http://schemas.openxmlformats.org/spreadsheetml/2006/main" count="394" uniqueCount="75">
  <si>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</si>
  <si>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</si>
  <si>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</si>
  <si>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</si>
  <si>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</si>
  <si>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</si>
  <si>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</si>
  <si>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</si>
  <si>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</si>
  <si>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</si>
  <si>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</si>
  <si>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</si>
  <si>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</si>
  <si>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</si>
  <si>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</si>
  <si>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</si>
  <si>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</si>
  <si>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</si>
  <si>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</si>
  <si>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</si>
  <si>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</si>
  <si>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</si>
  <si>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</si>
  <si>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</si>
  <si>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Тимур А.</t>
  </si>
  <si>
    <t>Канада</t>
  </si>
  <si>
    <t>mace</t>
  </si>
  <si>
    <t>Михаил Ж.</t>
  </si>
  <si>
    <t>США</t>
  </si>
  <si>
    <t>YOSEN</t>
  </si>
  <si>
    <t>Эмиль С.</t>
  </si>
  <si>
    <t>Швеция</t>
  </si>
  <si>
    <t>Emqa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</si>
  <si>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</si>
  <si>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</si>
  <si>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</si>
  <si>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</si>
  <si>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</si>
  <si>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</si>
  <si>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</si>
  <si>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</si>
  <si>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</si>
  <si>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</si>
  <si>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</si>
  <si>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</si>
  <si>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</si>
  <si>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</si>
  <si>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</si>
  <si>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</si>
  <si>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</si>
  <si>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</si>
  <si>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</si>
  <si>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Эмиль Д.</t>
  </si>
  <si>
    <t>Швейцария</t>
  </si>
  <si>
    <t>Pudge</t>
  </si>
  <si>
    <t xml:space="preserve">Вильдан А. </t>
  </si>
  <si>
    <t>AVTOMAT</t>
  </si>
  <si>
    <t>Алексей К.</t>
  </si>
  <si>
    <t>Mutabor102</t>
  </si>
  <si>
    <t>ТУР4</t>
  </si>
  <si>
    <t>ТУР5</t>
  </si>
  <si>
    <t>ТУР6</t>
  </si>
  <si>
    <t>Дмитрий П.</t>
  </si>
  <si>
    <t>MBK</t>
  </si>
  <si>
    <t xml:space="preserve">Руслан С. </t>
  </si>
  <si>
    <t>rio2k</t>
  </si>
  <si>
    <t xml:space="preserve">Илья Я. </t>
  </si>
  <si>
    <t>Deqim</t>
  </si>
  <si>
    <t>-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</si>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</sst>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1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0" fontId="15" numFmtId="164" xfId="0" applyAlignment="1" applyBorder="1" applyFont="1" applyNumberFormat="1">
      <alignment horizontal="center" readingOrder="0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23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4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5" numFmtId="164" xfId="0" applyAlignment="1" applyBorder="1" applyFont="1" applyNumberFormat="1">
      <alignment horizontal="center" vertical="center"/>
    </xf>
    <xf borderId="6" fillId="2" fontId="26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8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7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9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5" numFmtId="164" xfId="0" applyAlignment="1" applyBorder="1" applyFont="1" applyNumberFormat="1">
      <alignment horizontal="center" vertical="bottom"/>
    </xf>
    <xf borderId="6" fillId="0" fontId="29" numFmtId="164" xfId="0" applyAlignment="1" applyBorder="1" applyFont="1" applyNumberFormat="1">
      <alignment horizontal="center"/>
    </xf>
    <xf borderId="0" fillId="0" fontId="29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7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30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9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8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6" fillId="3" fontId="15" numFmtId="0" xfId="0" applyAlignment="1" applyBorder="1" applyFont="1">
      <alignment horizontal="center" readingOrder="0" vertical="center"/>
    </xf>
    <xf borderId="6" fillId="3" fontId="15" numFmtId="0" xfId="0" applyAlignment="1" applyBorder="1" applyFont="1">
      <alignment horizontal="center" vertical="bottom"/>
    </xf>
    <xf borderId="6" fillId="3" fontId="20" numFmtId="0" xfId="0" applyAlignment="1" applyBorder="1" applyFont="1">
      <alignment horizontal="center"/>
    </xf>
    <xf borderId="6" fillId="3" fontId="15" numFmtId="0" xfId="0" applyAlignment="1" applyBorder="1" applyFont="1">
      <alignment horizontal="center" readingOrder="0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7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7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45683.0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45683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10</v>
      </c>
      <c r="AI3" s="22">
        <f t="array" ref="AI3">SUM(('ТУР1'!home=AF3)*(homescore=visitorscore)*ISNUMBER(visitorscore),(visitor=AF3)*(visitorscore=homescore)*ISNUMBER(homescore))</f>
        <v>12</v>
      </c>
      <c r="AJ3" s="27">
        <f t="array" ref="AJ3">SUM(('ТУР1'!home=AF3)*(homescore&lt;visitorscore),(visitor=AF3)*(visitorscore&lt;homescore))</f>
        <v>6</v>
      </c>
      <c r="AK3" s="22">
        <f t="array" ref="AK3">SUMIF('ТУР1'!home,AF3,homescore)+SUMIF(visitor,AF3,visitorscore)</f>
        <v>40</v>
      </c>
      <c r="AL3" s="27">
        <f t="array" ref="AL3">SUMIF('ТУР1'!home,AF3,visitorscore)+SUMIF(visitor,AF3,homescore)</f>
        <v>37</v>
      </c>
      <c r="AM3" s="27">
        <f t="shared" ref="AM3:AM5" si="2">AK3-AL3</f>
        <v>3</v>
      </c>
      <c r="AN3" s="22">
        <f t="array" ref="AN3">AH3*Options!$B$2+AI3*Options!$B$3+AJ3*Options!$B$4+VLOOKUP(AF3,$E$4:$F$8,2,0)</f>
        <v>42</v>
      </c>
      <c r="AO3" s="28">
        <f t="shared" ref="AO3:AO5" si="3">AK3+AM3*10000+AN3*100000000</f>
        <v>4200030040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mace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12</v>
      </c>
      <c r="Y4" s="20">
        <f t="array" ref="Y4">VLOOKUP($U4,$AF$3:$AN$5,5,0)</f>
        <v>6</v>
      </c>
      <c r="Z4" s="20">
        <f t="array" ref="Z4">VLOOKUP($U4,$AF$3:$AN$5,6,0)</f>
        <v>40</v>
      </c>
      <c r="AA4" s="20">
        <f t="array" ref="AA4">VLOOKUP($U4,$AF$3:$AN$5,7,0)</f>
        <v>37</v>
      </c>
      <c r="AB4" s="20">
        <f t="array" ref="AB4">VLOOKUP($U4,$AF$3:$AN$5,8,0)</f>
        <v>3</v>
      </c>
      <c r="AC4" s="20">
        <f t="array" ref="AC4">VLOOKUP($U4,$AF$3:$AN$5,9,0)</f>
        <v>42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8</v>
      </c>
      <c r="AI4" s="22">
        <f t="array" ref="AI4">SUM(('ТУР1'!home=AF4)*(homescore=visitorscore)*ISNUMBER(visitorscore),(visitor=AF4)*(visitorscore=homescore)*ISNUMBER(homescore))</f>
        <v>12</v>
      </c>
      <c r="AJ4" s="27">
        <f t="array" ref="AJ4">SUM(('ТУР1'!home=AF4)*(homescore&lt;visitorscore),(visitor=AF4)*(visitorscore&lt;homescore))</f>
        <v>8</v>
      </c>
      <c r="AK4" s="22">
        <f t="array" ref="AK4">SUMIF('ТУР1'!home,AF4,homescore)+SUMIF(visitor,AF4,visitorscore)</f>
        <v>40</v>
      </c>
      <c r="AL4" s="27">
        <f t="array" ref="AL4">SUMIF('ТУР1'!home,AF4,visitorscore)+SUMIF(visitor,AF4,homescore)</f>
        <v>39</v>
      </c>
      <c r="AM4" s="27">
        <f t="shared" si="2"/>
        <v>1</v>
      </c>
      <c r="AN4" s="22">
        <f t="array" ref="AN4">AH4*Options!$B$2+AI4*Options!$B$3+AJ4*Options!$B$4+VLOOKUP(AF4,$E$4:$F$8,2,0)</f>
        <v>36</v>
      </c>
      <c r="AO4" s="28">
        <f t="shared" si="3"/>
        <v>3600010040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12</v>
      </c>
      <c r="Y5" s="20">
        <f t="array" ref="Y5">VLOOKUP($U5,$AF$3:$AN$5,5,0)</f>
        <v>8</v>
      </c>
      <c r="Z5" s="20">
        <f t="array" ref="Z5">VLOOKUP($U5,$AF$3:$AN$5,6,0)</f>
        <v>40</v>
      </c>
      <c r="AA5" s="20">
        <f t="array" ref="AA5">VLOOKUP($U5,$AF$3:$AN$5,7,0)</f>
        <v>39</v>
      </c>
      <c r="AB5" s="20">
        <f t="array" ref="AB5">VLOOKUP($U5,$AF$3:$AN$5,8,0)</f>
        <v>1</v>
      </c>
      <c r="AC5" s="20">
        <f t="array" ref="AC5">VLOOKUP($U5,$AF$3:$AN$5,9,0)</f>
        <v>36</v>
      </c>
      <c r="AD5" s="28"/>
      <c r="AE5" s="12"/>
      <c r="AF5" s="26" t="str">
        <f t="shared" si="1"/>
        <v>Emqa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7</v>
      </c>
      <c r="AI5" s="22">
        <f t="array" ref="AI5">SUM(('ТУР1'!home=AF5)*(homescore=visitorscore)*ISNUMBER(visitorscore),(visitor=AF5)*(visitorscore=homescore)*ISNUMBER(homescore))</f>
        <v>10</v>
      </c>
      <c r="AJ5" s="27">
        <f t="array" ref="AJ5">SUM(('ТУР1'!home=AF5)*(homescore&lt;visitorscore),(visitor=AF5)*(visitorscore&lt;homescore))</f>
        <v>11</v>
      </c>
      <c r="AK5" s="22">
        <f t="array" ref="AK5">SUMIF('ТУР1'!home,AF5,homescore)+SUMIF(visitor,AF5,visitorscore)</f>
        <v>35</v>
      </c>
      <c r="AL5" s="27">
        <f t="array" ref="AL5">SUMIF('ТУР1'!home,AF5,visitorscore)+SUMIF(visitor,AF5,homescore)</f>
        <v>39</v>
      </c>
      <c r="AM5" s="27">
        <f t="shared" si="2"/>
        <v>-4</v>
      </c>
      <c r="AN5" s="22">
        <f t="array" ref="AN5">AH5*Options!$B$2+AI5*Options!$B$3+AJ5*Options!$B$4+VLOOKUP(AF5,$E$4:$F$8,2,0)</f>
        <v>31</v>
      </c>
      <c r="AO5" s="28">
        <f t="shared" si="3"/>
        <v>3099960035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Emqa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10</v>
      </c>
      <c r="Y6" s="20">
        <f t="array" ref="Y6">VLOOKUP($U6,$AF$3:$AN$5,5,0)</f>
        <v>11</v>
      </c>
      <c r="Z6" s="20">
        <f t="array" ref="Z6">VLOOKUP($U6,$AF$3:$AN$5,6,0)</f>
        <v>35</v>
      </c>
      <c r="AA6" s="20">
        <f t="array" ref="AA6">VLOOKUP($U6,$AF$3:$AN$5,7,0)</f>
        <v>39</v>
      </c>
      <c r="AB6" s="20">
        <f t="array" ref="AB6">VLOOKUP($U6,$AF$3:$AN$5,8,0)</f>
        <v>-4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mace</v>
      </c>
      <c r="F12" s="47" t="str">
        <f t="shared" ref="F12:F17" si="7">$E$5</f>
        <v>YOSEN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mace  - (США) YOSEN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mace</v>
      </c>
      <c r="F13" s="47" t="str">
        <f t="shared" si="7"/>
        <v>YOSEN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mace  - (США) YOSEN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mace</v>
      </c>
      <c r="F14" s="47" t="str">
        <f t="shared" si="7"/>
        <v>YOSEN</v>
      </c>
      <c r="G14" s="40">
        <f t="shared" si="8"/>
        <v>3</v>
      </c>
      <c r="H14" s="19"/>
      <c r="I14" s="40">
        <f t="shared" si="9"/>
        <v>3</v>
      </c>
      <c r="J14" s="19"/>
      <c r="K14" s="47">
        <v>3.0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mace  - (США) YOSEN</v>
      </c>
      <c r="V14" s="12" t="str">
        <f t="shared" si="11"/>
        <v>3:3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Emqa</v>
      </c>
      <c r="F15" s="47" t="str">
        <f t="shared" si="7"/>
        <v>YOSEN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Emqa  - (США) YOSEN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Emqa</v>
      </c>
      <c r="F16" s="47" t="str">
        <f t="shared" si="7"/>
        <v>YOSEN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Emqa  - (США) YOSEN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Emqa</v>
      </c>
      <c r="F17" s="47" t="str">
        <f t="shared" si="7"/>
        <v>YOSEN</v>
      </c>
      <c r="G17" s="40">
        <f t="shared" si="8"/>
        <v>0</v>
      </c>
      <c r="H17" s="19"/>
      <c r="I17" s="40">
        <f t="shared" si="9"/>
        <v>1</v>
      </c>
      <c r="J17" s="19"/>
      <c r="K17" s="47">
        <v>0.0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Emqa  - (США) YOSEN</v>
      </c>
      <c r="V17" s="12" t="str">
        <f t="shared" si="11"/>
        <v>0:1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Emqa</v>
      </c>
      <c r="F18" s="47" t="str">
        <f t="shared" ref="F18:F23" si="15">$E$4</f>
        <v>mace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Emqa  - (Канада) mace</v>
      </c>
      <c r="V18" s="12" t="str">
        <f t="shared" si="11"/>
        <v>1:2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Emqa</v>
      </c>
      <c r="F19" s="47" t="str">
        <f t="shared" si="15"/>
        <v>mace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Emqa  - (Канада) mace</v>
      </c>
      <c r="V19" s="12" t="str">
        <f t="shared" si="11"/>
        <v>2:0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Emqa</v>
      </c>
      <c r="F20" s="47" t="str">
        <f t="shared" si="15"/>
        <v>mace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Emqa  - (Канада) mace</v>
      </c>
      <c r="V20" s="12" t="str">
        <f t="shared" si="11"/>
        <v>1:2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YOSEN</v>
      </c>
      <c r="F21" s="47" t="str">
        <f t="shared" si="15"/>
        <v>mace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YOSEN  - (Канада) mace</v>
      </c>
      <c r="V21" s="12" t="str">
        <f t="shared" si="11"/>
        <v>1:1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YOSEN</v>
      </c>
      <c r="F22" s="47" t="str">
        <f t="shared" si="15"/>
        <v>mace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YOSEN  - (Канада) mace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YOSEN</v>
      </c>
      <c r="F23" s="47" t="str">
        <f t="shared" si="15"/>
        <v>mace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YOSEN  - (Канада) mace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YOSEN</v>
      </c>
      <c r="F24" s="51" t="str">
        <f t="shared" ref="F24:F29" si="20">$E$6</f>
        <v>Emqa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YOSEN  - (Швеция) Emqa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YOSEN</v>
      </c>
      <c r="F25" s="51" t="str">
        <f t="shared" si="20"/>
        <v>Emqa</v>
      </c>
      <c r="G25" s="40">
        <f t="shared" si="8"/>
        <v>2</v>
      </c>
      <c r="H25" s="19"/>
      <c r="I25" s="40">
        <f t="shared" si="21"/>
        <v>2</v>
      </c>
      <c r="J25" s="19"/>
      <c r="K25" s="47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YOSEN  - (Швеция) Emqa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YOSEN</v>
      </c>
      <c r="F26" s="51" t="str">
        <f t="shared" si="20"/>
        <v>Emqa</v>
      </c>
      <c r="G26" s="40">
        <f t="shared" si="8"/>
        <v>2</v>
      </c>
      <c r="H26" s="19"/>
      <c r="I26" s="40">
        <f t="shared" si="21"/>
        <v>1</v>
      </c>
      <c r="J26" s="19"/>
      <c r="K26" s="47">
        <v>2.0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YOSEN  - (Швеция) Emqa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mace</v>
      </c>
      <c r="F27" s="51" t="str">
        <f t="shared" si="20"/>
        <v>Emqa</v>
      </c>
      <c r="G27" s="40">
        <f t="shared" si="8"/>
        <v>1</v>
      </c>
      <c r="H27" s="19"/>
      <c r="I27" s="40">
        <f t="shared" si="21"/>
        <v>0</v>
      </c>
      <c r="J27" s="19"/>
      <c r="K27" s="47">
        <v>1.0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mace  - (Швеция) Emqa</v>
      </c>
      <c r="V27" s="12" t="str">
        <f t="shared" si="11"/>
        <v>1:0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mace</v>
      </c>
      <c r="F28" s="51" t="str">
        <f t="shared" si="20"/>
        <v>Emqa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mace  - (Швеция) Emqa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mace</v>
      </c>
      <c r="F29" s="51" t="str">
        <f t="shared" si="20"/>
        <v>Emqa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mace  - (Швеция) Emqa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mace</v>
      </c>
      <c r="F30" s="47" t="str">
        <f t="shared" ref="F30:F35" si="25">$E$5</f>
        <v>YOSEN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mace  - (США) YOSEN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mace</v>
      </c>
      <c r="F31" s="47" t="str">
        <f t="shared" si="25"/>
        <v>YOSEN</v>
      </c>
      <c r="G31" s="40">
        <f t="shared" si="8"/>
        <v>0</v>
      </c>
      <c r="H31" s="19"/>
      <c r="I31" s="40">
        <f t="shared" ref="I31:I35" si="26">SUM(L31,O31)</f>
        <v>2</v>
      </c>
      <c r="J31" s="19"/>
      <c r="K31" s="47">
        <v>0.0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mace  - (США) YOSEN</v>
      </c>
      <c r="V31" s="12" t="str">
        <f t="shared" si="11"/>
        <v>0:2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mace</v>
      </c>
      <c r="F32" s="47" t="str">
        <f t="shared" si="25"/>
        <v>YOSEN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mace  - (США) YOSEN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Emqa</v>
      </c>
      <c r="F33" s="47" t="str">
        <f t="shared" si="25"/>
        <v>YOSEN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Emqa  - (США) YOSEN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Emqa</v>
      </c>
      <c r="F34" s="47" t="str">
        <f t="shared" si="25"/>
        <v>YOSEN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Emqa  - (США) YOSEN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Emqa</v>
      </c>
      <c r="F35" s="47" t="str">
        <f t="shared" si="25"/>
        <v>YOSEN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Emqa  - (США) YOSEN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Emqa</v>
      </c>
      <c r="F36" s="47" t="str">
        <f t="shared" ref="F36:F41" si="30">$E$4</f>
        <v>mace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Emqa  - (Канада) mace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Emqa</v>
      </c>
      <c r="F37" s="47" t="str">
        <f t="shared" si="30"/>
        <v>mace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Emqa  - (Канада) mace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Emqa</v>
      </c>
      <c r="F38" s="47" t="str">
        <f t="shared" si="30"/>
        <v>mace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Emqa  - (Канада) mace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YOSEN</v>
      </c>
      <c r="F39" s="47" t="str">
        <f t="shared" si="30"/>
        <v>mace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YOSEN  - (Канада) mace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YOSEN</v>
      </c>
      <c r="F40" s="47" t="str">
        <f t="shared" si="30"/>
        <v>mace</v>
      </c>
      <c r="G40" s="40">
        <f t="shared" si="8"/>
        <v>0</v>
      </c>
      <c r="H40" s="19"/>
      <c r="I40" s="40">
        <f t="shared" si="31"/>
        <v>2</v>
      </c>
      <c r="J40" s="19"/>
      <c r="K40" s="47">
        <v>0.0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YOSEN  - (Канада) mace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YOSEN</v>
      </c>
      <c r="F41" s="47" t="str">
        <f t="shared" si="30"/>
        <v>mace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YOSEN  - (Канада) mace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YOSEN</v>
      </c>
      <c r="F42" s="47" t="str">
        <f t="shared" ref="F42:F47" si="35">$E$6</f>
        <v>Emqa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YOSEN  - (Швеция) Emqa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YOSEN</v>
      </c>
      <c r="F43" s="47" t="str">
        <f t="shared" si="35"/>
        <v>Emqa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YOSEN  - (Швеция) Emqa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YOSEN</v>
      </c>
      <c r="F44" s="47" t="str">
        <f t="shared" si="35"/>
        <v>Emqa</v>
      </c>
      <c r="G44" s="40">
        <f t="shared" si="8"/>
        <v>0</v>
      </c>
      <c r="H44" s="19"/>
      <c r="I44" s="40">
        <f t="shared" si="36"/>
        <v>1</v>
      </c>
      <c r="J44" s="19"/>
      <c r="K44" s="47">
        <v>0.0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YOSEN  - (Швеция) Emqa</v>
      </c>
      <c r="V44" s="12" t="str">
        <f t="shared" si="11"/>
        <v>0:1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mace</v>
      </c>
      <c r="F45" s="47" t="str">
        <f t="shared" si="35"/>
        <v>Emqa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mace  - (Швеция) Emqa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mace</v>
      </c>
      <c r="F46" s="47" t="str">
        <f t="shared" si="35"/>
        <v>Emqa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mace  - (Швеция) Emqa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mace</v>
      </c>
      <c r="F47" s="47" t="str">
        <f t="shared" si="35"/>
        <v>Emqa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mace  - (Швеция) Emqa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mace</v>
      </c>
      <c r="F48" s="47" t="str">
        <f t="shared" ref="F48:F51" si="40">$E$5</f>
        <v>YOSEN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mace  - (США) YOSEN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mace</v>
      </c>
      <c r="F49" s="47" t="str">
        <f t="shared" si="40"/>
        <v>YOSEN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mace  - (США) YOSEN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Emqa</v>
      </c>
      <c r="F50" s="47" t="str">
        <f t="shared" si="40"/>
        <v>YOSEN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Emqa  - (США) YOSEN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Emqa</v>
      </c>
      <c r="F51" s="47" t="str">
        <f t="shared" si="40"/>
        <v>YOSEN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Emqa  - (США) YOSEN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Emqa</v>
      </c>
      <c r="F52" s="47" t="str">
        <f t="shared" ref="F52:F53" si="45">$E$4</f>
        <v>mace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Emqa  - (Канада) mace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Emqa</v>
      </c>
      <c r="F53" s="47" t="str">
        <f t="shared" si="45"/>
        <v>mace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Emqa  - (Канада) mace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45683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45683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8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10</v>
      </c>
      <c r="AJ3" s="27">
        <f t="array" ref="AJ3">SUM(('ТУР1'!home=AF3)*('ТУР2'!homescore&lt;'ТУР2'!visitorscore),('ТУР2'!visitor=AF3)*('ТУР2'!visitorscore&lt;'ТУР2'!homescore))</f>
        <v>10</v>
      </c>
      <c r="AK3" s="22">
        <f t="array" ref="AK3">SUMIF('ТУР1'!home,AF3,'ТУР2'!homescore)+SUMIF('ТУР2'!visitor,AF3,'ТУР2'!visitorscore)</f>
        <v>44</v>
      </c>
      <c r="AL3" s="27">
        <f t="array" ref="AL3">SUMIF('ТУР1'!home,AF3,'ТУР2'!visitorscore)+SUMIF('ТУР2'!visitor,AF3,'ТУР2'!homescore)</f>
        <v>48</v>
      </c>
      <c r="AM3" s="27">
        <f t="shared" ref="AM3:AM5" si="2">AK3-AL3</f>
        <v>-4</v>
      </c>
      <c r="AN3" s="22">
        <f t="array" ref="AN3">AH3*Options!$B$2+AI3*Options!$B$3+AJ3*Options!$B$4+VLOOKUP(AF3,$E$4:$F$8,2,0)</f>
        <v>34</v>
      </c>
      <c r="AO3" s="28">
        <f t="shared" ref="AO3:AO5" si="3">AK3+AM3*10000+AN3*100000000</f>
        <v>3399960044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10</v>
      </c>
      <c r="Y4" s="20">
        <f t="array" ref="Y4">VLOOKUP($U4,$AF$3:$AN$5,5,0)</f>
        <v>5</v>
      </c>
      <c r="Z4" s="20">
        <f t="array" ref="Z4">VLOOKUP($U4,$AF$3:$AN$5,6,0)</f>
        <v>54</v>
      </c>
      <c r="AA4" s="20">
        <f t="array" ref="AA4">VLOOKUP($U4,$AF$3:$AN$5,7,0)</f>
        <v>44</v>
      </c>
      <c r="AB4" s="20">
        <f t="array" ref="AB4">VLOOKUP($U4,$AF$3:$AN$5,8,0)</f>
        <v>10</v>
      </c>
      <c r="AC4" s="20">
        <f t="array" ref="AC4">VLOOKUP($U4,$AF$3:$AN$5,9,0)</f>
        <v>49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13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10</v>
      </c>
      <c r="AJ4" s="27">
        <f t="array" ref="AJ4">SUM(('ТУР1'!home=AF4)*('ТУР2'!homescore&lt;'ТУР2'!visitorscore),('ТУР2'!visitor=AF4)*('ТУР2'!visitorscore&lt;'ТУР2'!homescore))</f>
        <v>5</v>
      </c>
      <c r="AK4" s="22">
        <f t="array" ref="AK4">SUMIF('ТУР1'!home,AF4,'ТУР2'!homescore)+SUMIF('ТУР2'!visitor,AF4,'ТУР2'!visitorscore)</f>
        <v>54</v>
      </c>
      <c r="AL4" s="27">
        <f t="array" ref="AL4">SUMIF('ТУР1'!home,AF4,'ТУР2'!visitorscore)+SUMIF('ТУР2'!visitor,AF4,'ТУР2'!homescore)</f>
        <v>44</v>
      </c>
      <c r="AM4" s="27">
        <f t="shared" si="2"/>
        <v>10</v>
      </c>
      <c r="AN4" s="22">
        <f t="array" ref="AN4">AH4*Options!$B$2+AI4*Options!$B$3+AJ4*Options!$B$4+VLOOKUP(AF4,$E$4:$F$8,2,0)</f>
        <v>49</v>
      </c>
      <c r="AO4" s="28">
        <f t="shared" si="3"/>
        <v>4900100054</v>
      </c>
    </row>
    <row r="5">
      <c r="A5" s="12"/>
      <c r="B5" s="12"/>
      <c r="C5" s="33" t="s">
        <v>27</v>
      </c>
      <c r="D5" s="30" t="s">
        <v>47</v>
      </c>
      <c r="E5" s="34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mace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10</v>
      </c>
      <c r="Y5" s="20">
        <f t="array" ref="Y5">VLOOKUP($U5,$AF$3:$AN$5,5,0)</f>
        <v>10</v>
      </c>
      <c r="Z5" s="20">
        <f t="array" ref="Z5">VLOOKUP($U5,$AF$3:$AN$5,6,0)</f>
        <v>44</v>
      </c>
      <c r="AA5" s="20">
        <f t="array" ref="AA5">VLOOKUP($U5,$AF$3:$AN$5,7,0)</f>
        <v>48</v>
      </c>
      <c r="AB5" s="20">
        <f t="array" ref="AB5">VLOOKUP($U5,$AF$3:$AN$5,8,0)</f>
        <v>-4</v>
      </c>
      <c r="AC5" s="20">
        <f t="array" ref="AC5">VLOOKUP($U5,$AF$3:$AN$5,9,0)</f>
        <v>34</v>
      </c>
      <c r="AD5" s="28"/>
      <c r="AE5" s="12"/>
      <c r="AF5" s="26" t="str">
        <f t="shared" si="1"/>
        <v>Emqa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6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10</v>
      </c>
      <c r="AJ5" s="27">
        <f t="array" ref="AJ5">SUM(('ТУР1'!home=AF5)*('ТУР2'!homescore&lt;'ТУР2'!visitorscore),('ТУР2'!visitor=AF5)*('ТУР2'!visitorscore&lt;'ТУР2'!homescore))</f>
        <v>12</v>
      </c>
      <c r="AK5" s="22">
        <f t="array" ref="AK5">SUMIF('ТУР1'!home,AF5,'ТУР2'!homescore)+SUMIF('ТУР2'!visitor,AF5,'ТУР2'!visitorscore)</f>
        <v>49</v>
      </c>
      <c r="AL5" s="27">
        <f t="array" ref="AL5">SUMIF('ТУР1'!home,AF5,'ТУР2'!visitorscore)+SUMIF('ТУР2'!visitor,AF5,'ТУР2'!homescore)</f>
        <v>55</v>
      </c>
      <c r="AM5" s="27">
        <f t="shared" si="2"/>
        <v>-6</v>
      </c>
      <c r="AN5" s="22">
        <f t="array" ref="AN5">AH5*Options!$B$2+AI5*Options!$B$3+AJ5*Options!$B$4+VLOOKUP(AF5,$E$4:$F$8,2,0)</f>
        <v>28</v>
      </c>
      <c r="AO5" s="28">
        <f t="shared" si="3"/>
        <v>2799940049</v>
      </c>
    </row>
    <row r="6">
      <c r="A6" s="12"/>
      <c r="B6" s="12"/>
      <c r="C6" s="33" t="s">
        <v>30</v>
      </c>
      <c r="D6" s="30" t="s">
        <v>48</v>
      </c>
      <c r="E6" s="34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Emqa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10</v>
      </c>
      <c r="Y6" s="20">
        <f t="array" ref="Y6">VLOOKUP($U6,$AF$3:$AN$5,5,0)</f>
        <v>12</v>
      </c>
      <c r="Z6" s="20">
        <f t="array" ref="Z6">VLOOKUP($U6,$AF$3:$AN$5,6,0)</f>
        <v>49</v>
      </c>
      <c r="AA6" s="20">
        <f t="array" ref="AA6">VLOOKUP($U6,$AF$3:$AN$5,7,0)</f>
        <v>55</v>
      </c>
      <c r="AB6" s="20">
        <f t="array" ref="AB6">VLOOKUP($U6,$AF$3:$AN$5,8,0)</f>
        <v>-6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mace</v>
      </c>
      <c r="F12" s="47" t="str">
        <f t="shared" ref="F12:F17" si="7">$E$5</f>
        <v>YOSEN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mace  - (Чехия) YOSEN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mace</v>
      </c>
      <c r="F13" s="47" t="str">
        <f t="shared" si="7"/>
        <v>YOSEN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mace  - (Чехия) YOSEN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mace</v>
      </c>
      <c r="F14" s="47" t="str">
        <f t="shared" si="7"/>
        <v>YOSEN</v>
      </c>
      <c r="G14" s="40">
        <f t="shared" si="8"/>
        <v>2</v>
      </c>
      <c r="H14" s="19"/>
      <c r="I14" s="40">
        <f t="shared" si="9"/>
        <v>1</v>
      </c>
      <c r="J14" s="19"/>
      <c r="K14" s="47">
        <v>2.0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mace  - (Чехия) YOSEN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Emqa</v>
      </c>
      <c r="F15" s="47" t="str">
        <f t="shared" si="7"/>
        <v>YOSEN</v>
      </c>
      <c r="G15" s="40">
        <f t="shared" si="8"/>
        <v>3</v>
      </c>
      <c r="H15" s="19"/>
      <c r="I15" s="40">
        <f t="shared" si="9"/>
        <v>2</v>
      </c>
      <c r="J15" s="19"/>
      <c r="K15" s="47">
        <v>3.0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Emqa  - (Чехия) YOSEN</v>
      </c>
      <c r="V15" s="12" t="str">
        <f t="shared" si="11"/>
        <v>3:2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Emqa</v>
      </c>
      <c r="F16" s="47" t="str">
        <f t="shared" si="7"/>
        <v>YOSEN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Emqa  - (Чехия) YOSEN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Emqa</v>
      </c>
      <c r="F17" s="47" t="str">
        <f t="shared" si="7"/>
        <v>YOSEN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Emqa  - (Чехия) YOSEN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Emqa</v>
      </c>
      <c r="F18" s="47" t="str">
        <f t="shared" ref="F18:F23" si="15">$E$4</f>
        <v>mace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Emqa  - (Финляндия) mace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Emqa</v>
      </c>
      <c r="F19" s="47" t="str">
        <f t="shared" si="15"/>
        <v>mace</v>
      </c>
      <c r="G19" s="40">
        <f t="shared" si="8"/>
        <v>3</v>
      </c>
      <c r="H19" s="19"/>
      <c r="I19" s="40">
        <f t="shared" ref="I19:I23" si="16">SUM(L19,O19)</f>
        <v>1</v>
      </c>
      <c r="J19" s="19"/>
      <c r="K19" s="47">
        <v>3.0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Emqa  - (Финляндия) mace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Emqa</v>
      </c>
      <c r="F20" s="47" t="str">
        <f t="shared" si="15"/>
        <v>mace</v>
      </c>
      <c r="G20" s="40">
        <f t="shared" si="8"/>
        <v>3</v>
      </c>
      <c r="H20" s="19"/>
      <c r="I20" s="40">
        <f t="shared" si="16"/>
        <v>3</v>
      </c>
      <c r="J20" s="19"/>
      <c r="K20" s="47">
        <v>3.0</v>
      </c>
      <c r="L20" s="47">
        <v>3.0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Emqa  - (Финляндия) mace</v>
      </c>
      <c r="V20" s="12" t="str">
        <f t="shared" si="11"/>
        <v>3:3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YOSEN</v>
      </c>
      <c r="F21" s="47" t="str">
        <f t="shared" si="15"/>
        <v>mace</v>
      </c>
      <c r="G21" s="40">
        <f t="shared" si="8"/>
        <v>3</v>
      </c>
      <c r="H21" s="19"/>
      <c r="I21" s="40">
        <f t="shared" si="16"/>
        <v>1</v>
      </c>
      <c r="J21" s="19" t="s">
        <v>0</v>
      </c>
      <c r="K21" s="47">
        <v>3.0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YOSEN  - (Финляндия) mace</v>
      </c>
      <c r="V21" s="12" t="str">
        <f t="shared" si="11"/>
        <v>3:1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YOSEN</v>
      </c>
      <c r="F22" s="47" t="str">
        <f t="shared" si="15"/>
        <v>mace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YOSEN  - (Финляндия) mace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YOSEN</v>
      </c>
      <c r="F23" s="47" t="str">
        <f t="shared" si="15"/>
        <v>mace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YOSEN  - (Финляндия) mace</v>
      </c>
      <c r="V23" s="12" t="str">
        <f t="shared" si="11"/>
        <v>1:1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0"/>
      <c r="B24" s="61">
        <v>0.49166666666666664</v>
      </c>
      <c r="C24" s="62" t="str">
        <f t="shared" si="17"/>
        <v>Чехия</v>
      </c>
      <c r="D24" s="63" t="str">
        <f t="shared" ref="D24:D29" si="19">TRIM($D$6)</f>
        <v>Германия</v>
      </c>
      <c r="E24" s="62" t="str">
        <f t="shared" si="18"/>
        <v>YOSEN</v>
      </c>
      <c r="F24" s="63" t="str">
        <f t="shared" ref="F24:F29" si="20">$E$6</f>
        <v>Emqa</v>
      </c>
      <c r="G24" s="64">
        <f t="shared" si="8"/>
        <v>3</v>
      </c>
      <c r="H24" s="65"/>
      <c r="I24" s="64">
        <f t="shared" ref="I24:I30" si="21">SUM(L24)</f>
        <v>2</v>
      </c>
      <c r="J24" s="65"/>
      <c r="K24" s="47">
        <v>3.0</v>
      </c>
      <c r="L24" s="47">
        <v>2.0</v>
      </c>
      <c r="M24" s="66"/>
      <c r="N24" s="66"/>
      <c r="O24" s="66"/>
      <c r="P24" s="66"/>
      <c r="Q24" s="66"/>
      <c r="R24" s="66"/>
      <c r="S24" s="66"/>
      <c r="T24" s="48">
        <v>169.0</v>
      </c>
      <c r="U24" s="49" t="str">
        <f t="shared" si="10"/>
        <v>11:48 Bullet shot Cup (Чехия) YOSEN  - (Германия) Emqa</v>
      </c>
      <c r="V24" s="66" t="str">
        <f t="shared" si="11"/>
        <v>3:2</v>
      </c>
      <c r="W24" s="66"/>
      <c r="X24" s="55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YOSEN</v>
      </c>
      <c r="F25" s="51" t="str">
        <f t="shared" si="20"/>
        <v>Emqa</v>
      </c>
      <c r="G25" s="40">
        <f t="shared" si="8"/>
        <v>1</v>
      </c>
      <c r="H25" s="19"/>
      <c r="I25" s="40">
        <f t="shared" si="21"/>
        <v>1</v>
      </c>
      <c r="J25" s="19"/>
      <c r="K25" s="47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YOSEN  - (Германия) Emqa</v>
      </c>
      <c r="V25" s="12" t="str">
        <f t="shared" si="11"/>
        <v>1:1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YOSEN</v>
      </c>
      <c r="F26" s="51" t="str">
        <f t="shared" si="20"/>
        <v>Emqa</v>
      </c>
      <c r="G26" s="40">
        <f t="shared" si="8"/>
        <v>3</v>
      </c>
      <c r="H26" s="19"/>
      <c r="I26" s="40">
        <f t="shared" si="21"/>
        <v>2</v>
      </c>
      <c r="J26" s="19"/>
      <c r="K26" s="47">
        <v>3.0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YOSEN  - (Германия) Emqa</v>
      </c>
      <c r="V26" s="12" t="str">
        <f t="shared" si="11"/>
        <v>3:2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mace</v>
      </c>
      <c r="F27" s="51" t="str">
        <f t="shared" si="20"/>
        <v>Emqa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mace  - (Германия) Emqa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mace</v>
      </c>
      <c r="F28" s="51" t="str">
        <f t="shared" si="20"/>
        <v>Emqa</v>
      </c>
      <c r="G28" s="40">
        <f t="shared" si="8"/>
        <v>1</v>
      </c>
      <c r="H28" s="19"/>
      <c r="I28" s="40">
        <f t="shared" si="21"/>
        <v>0</v>
      </c>
      <c r="J28" s="19"/>
      <c r="K28" s="47">
        <v>1.0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mace  - (Германия) Emqa</v>
      </c>
      <c r="V28" s="12" t="str">
        <f t="shared" si="11"/>
        <v>1:0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mace</v>
      </c>
      <c r="F29" s="51" t="str">
        <f t="shared" si="20"/>
        <v>Emqa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mace  - (Германия) Emqa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mace</v>
      </c>
      <c r="F30" s="47" t="str">
        <f t="shared" ref="F30:F35" si="25">$E$5</f>
        <v>YOSEN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mace  - (Чехия) YOSEN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mace</v>
      </c>
      <c r="F31" s="47" t="str">
        <f t="shared" si="25"/>
        <v>YOSEN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mace  - (Чехия) YOSEN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mace</v>
      </c>
      <c r="F32" s="47" t="str">
        <f t="shared" si="25"/>
        <v>YOSEN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mace  - (Чехия) YOSEN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Emqa</v>
      </c>
      <c r="F33" s="47" t="str">
        <f t="shared" si="25"/>
        <v>YOSEN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Emqa  - (Чехия) YOSEN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Emqa</v>
      </c>
      <c r="F34" s="47" t="str">
        <f t="shared" si="25"/>
        <v>YOSEN</v>
      </c>
      <c r="G34" s="40">
        <f t="shared" si="8"/>
        <v>2</v>
      </c>
      <c r="H34" s="19"/>
      <c r="I34" s="40">
        <f t="shared" si="26"/>
        <v>3</v>
      </c>
      <c r="J34" s="19"/>
      <c r="K34" s="47">
        <v>2.0</v>
      </c>
      <c r="L34" s="47">
        <v>3.0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Emqa  - (Чехия) YOSEN</v>
      </c>
      <c r="V34" s="12" t="str">
        <f t="shared" si="11"/>
        <v>2:3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Emqa</v>
      </c>
      <c r="F35" s="47" t="str">
        <f t="shared" si="25"/>
        <v>YOSEN</v>
      </c>
      <c r="G35" s="40">
        <f t="shared" si="8"/>
        <v>2</v>
      </c>
      <c r="H35" s="19"/>
      <c r="I35" s="40">
        <f t="shared" si="26"/>
        <v>3</v>
      </c>
      <c r="J35" s="19"/>
      <c r="K35" s="47">
        <v>2.0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Emqa  - (Чехия) YOSEN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Emqa</v>
      </c>
      <c r="F36" s="47" t="str">
        <f t="shared" ref="F36:F41" si="30">$E$4</f>
        <v>mace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Emqa  - (Финляндия) mace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Emqa</v>
      </c>
      <c r="F37" s="47" t="str">
        <f t="shared" si="30"/>
        <v>mace</v>
      </c>
      <c r="G37" s="40">
        <f t="shared" si="8"/>
        <v>1</v>
      </c>
      <c r="H37" s="19"/>
      <c r="I37" s="40">
        <f t="shared" si="31"/>
        <v>0</v>
      </c>
      <c r="J37" s="19"/>
      <c r="K37" s="47">
        <v>1.0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Emqa  - (Финляндия) mace</v>
      </c>
      <c r="V37" s="12" t="str">
        <f t="shared" si="11"/>
        <v>1:0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Emqa</v>
      </c>
      <c r="F38" s="47" t="str">
        <f t="shared" si="30"/>
        <v>mace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Emqa  - (Финляндия) mace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YOSEN</v>
      </c>
      <c r="F39" s="47" t="str">
        <f t="shared" si="30"/>
        <v>mace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YOSEN  - (Финляндия) mace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YOSEN</v>
      </c>
      <c r="F40" s="47" t="str">
        <f t="shared" si="30"/>
        <v>mace</v>
      </c>
      <c r="G40" s="40">
        <f t="shared" si="8"/>
        <v>1</v>
      </c>
      <c r="H40" s="19"/>
      <c r="I40" s="40">
        <f t="shared" si="31"/>
        <v>0</v>
      </c>
      <c r="J40" s="19"/>
      <c r="K40" s="47">
        <v>1.0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YOSEN  - (Финляндия) mace</v>
      </c>
      <c r="V40" s="12" t="str">
        <f t="shared" si="11"/>
        <v>1:0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YOSEN</v>
      </c>
      <c r="F41" s="47" t="str">
        <f t="shared" si="30"/>
        <v>mace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YOSEN  - (Финляндия) mace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YOSEN</v>
      </c>
      <c r="F42" s="47" t="str">
        <f t="shared" ref="F42:F47" si="35">$E$6</f>
        <v>Emqa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YOSEN  - (Германия) Emqa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YOSEN</v>
      </c>
      <c r="F43" s="47" t="str">
        <f t="shared" si="35"/>
        <v>Emqa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YOSEN  - (Германия) Emqa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YOSEN</v>
      </c>
      <c r="F44" s="47" t="str">
        <f t="shared" si="35"/>
        <v>Emqa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YOSEN  - (Германия) Emqa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mace</v>
      </c>
      <c r="F45" s="47" t="str">
        <f t="shared" si="35"/>
        <v>Emqa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mace  - (Германия) Emqa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mace</v>
      </c>
      <c r="F46" s="47" t="str">
        <f t="shared" si="35"/>
        <v>Emqa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mace  - (Германия) Emqa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mace</v>
      </c>
      <c r="F47" s="47" t="str">
        <f t="shared" si="35"/>
        <v>Emqa</v>
      </c>
      <c r="G47" s="40">
        <f t="shared" si="8"/>
        <v>3</v>
      </c>
      <c r="H47" s="19"/>
      <c r="I47" s="40">
        <f t="shared" si="36"/>
        <v>1</v>
      </c>
      <c r="J47" s="19"/>
      <c r="K47" s="47">
        <v>3.0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mace  - (Германия) Emqa</v>
      </c>
      <c r="V47" s="12" t="str">
        <f t="shared" si="11"/>
        <v>3:1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mace</v>
      </c>
      <c r="F48" s="47" t="str">
        <f t="shared" ref="F48:F51" si="40">$E$5</f>
        <v>YOSEN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mace  - (Чехия) YOSEN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mace</v>
      </c>
      <c r="F49" s="47" t="str">
        <f t="shared" si="40"/>
        <v>YOSEN</v>
      </c>
      <c r="G49" s="40">
        <f t="shared" si="8"/>
        <v>3</v>
      </c>
      <c r="H49" s="19"/>
      <c r="I49" s="40">
        <f t="shared" ref="I49:I53" si="41">SUM(L49,O49)</f>
        <v>3</v>
      </c>
      <c r="J49" s="19"/>
      <c r="K49" s="47">
        <v>3.0</v>
      </c>
      <c r="L49" s="47">
        <v>3.0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mace  - (Чехия) YOSEN</v>
      </c>
      <c r="V49" s="12" t="str">
        <f t="shared" si="11"/>
        <v>3:3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Emqa</v>
      </c>
      <c r="F50" s="47" t="str">
        <f t="shared" si="40"/>
        <v>YOSEN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Emqa  - (Чехия) YOSEN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Emqa</v>
      </c>
      <c r="F51" s="47" t="str">
        <f t="shared" si="40"/>
        <v>YOSEN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Emqa  - (Чехия) YOSEN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Emqa</v>
      </c>
      <c r="F52" s="47" t="str">
        <f t="shared" ref="F52:F53" si="45">$E$4</f>
        <v>mace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Emqa  - (Финляндия) mace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Emqa</v>
      </c>
      <c r="F53" s="47" t="str">
        <f t="shared" si="45"/>
        <v>mace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Emqa  - (Финляндия) mace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7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7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7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7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7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7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7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7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45683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45683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Pudge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10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10</v>
      </c>
      <c r="AJ3" s="27">
        <f t="array" ref="AJ3">SUM(('ТУР3'!home=AF3)*('ТУР3'!homescore&lt;'ТУР3'!visitorscore),('ТУР3'!visitor=AF3)*('ТУР3'!visitorscore&lt;'ТУР3'!homescore))</f>
        <v>8</v>
      </c>
      <c r="AK3" s="22">
        <f t="array" ref="AK3">SUMIF('ТУР3'!home,AF3,'ТУР3'!homescore)+SUMIF('ТУР3'!visitor,AF3,'ТУР3'!visitorscore)</f>
        <v>41</v>
      </c>
      <c r="AL3" s="27">
        <f t="array" ref="AL3">SUMIF('ТУР3'!home,AF3,'ТУР3'!visitorscore)+SUMIF('ТУР3'!visitor,AF3,'ТУР3'!homescore)</f>
        <v>38</v>
      </c>
      <c r="AM3" s="27">
        <f t="shared" ref="AM3:AM5" si="2">AK3-AL3</f>
        <v>3</v>
      </c>
      <c r="AN3" s="22">
        <f t="array" ref="AN3">AH3*Options!$B$2+AI3*Options!$B$3+AJ3*Options!$B$4+VLOOKUP(AF3,$E$4:$F$8,2,0)</f>
        <v>40</v>
      </c>
      <c r="AO3" s="28">
        <f t="shared" ref="AO3:AO5" si="3">AK3+AM3*10000+AN3*100000000</f>
        <v>4000030041</v>
      </c>
    </row>
    <row r="4">
      <c r="A4" s="12"/>
      <c r="B4" s="12"/>
      <c r="C4" s="70" t="s">
        <v>52</v>
      </c>
      <c r="D4" s="34" t="s">
        <v>53</v>
      </c>
      <c r="E4" s="31" t="s">
        <v>54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Pudge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10</v>
      </c>
      <c r="Y4" s="20">
        <f t="array" ref="Y4">VLOOKUP($U4,$AF$3:$AN$5,5,0)</f>
        <v>8</v>
      </c>
      <c r="Z4" s="20">
        <f t="array" ref="Z4">VLOOKUP($U4,$AF$3:$AN$5,6,0)</f>
        <v>41</v>
      </c>
      <c r="AA4" s="20">
        <f t="array" ref="AA4">VLOOKUP($U4,$AF$3:$AN$5,7,0)</f>
        <v>38</v>
      </c>
      <c r="AB4" s="20">
        <f t="array" ref="AB4">VLOOKUP($U4,$AF$3:$AN$5,8,0)</f>
        <v>3</v>
      </c>
      <c r="AC4" s="20">
        <f t="array" ref="AC4">VLOOKUP($U4,$AF$3:$AN$5,9,0)</f>
        <v>40</v>
      </c>
      <c r="AD4" s="28"/>
      <c r="AE4" s="12"/>
      <c r="AF4" s="26" t="str">
        <f t="shared" si="1"/>
        <v>AVTOMAT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9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7</v>
      </c>
      <c r="AJ4" s="27">
        <f t="array" ref="AJ4">SUM(('ТУР3'!home=AF4)*('ТУР3'!homescore&lt;'ТУР3'!visitorscore),('ТУР3'!visitor=AF4)*('ТУР3'!visitorscore&lt;'ТУР3'!homescore))</f>
        <v>12</v>
      </c>
      <c r="AK4" s="22">
        <f t="array" ref="AK4">SUMIF('ТУР3'!home,AF4,'ТУР3'!homescore)+SUMIF('ТУР3'!visitor,AF4,'ТУР3'!visitorscore)</f>
        <v>38</v>
      </c>
      <c r="AL4" s="27">
        <f t="array" ref="AL4">SUMIF('ТУР3'!home,AF4,'ТУР3'!visitorscore)+SUMIF('ТУР3'!visitor,AF4,'ТУР3'!homescore)</f>
        <v>43</v>
      </c>
      <c r="AM4" s="27">
        <f t="shared" si="2"/>
        <v>-5</v>
      </c>
      <c r="AN4" s="22">
        <f t="array" ref="AN4">AH4*Options!$B$2+AI4*Options!$B$3+AJ4*Options!$B$4+VLOOKUP(AF4,$E$4:$F$8,2,0)</f>
        <v>34</v>
      </c>
      <c r="AO4" s="28">
        <f t="shared" si="3"/>
        <v>3399950038</v>
      </c>
    </row>
    <row r="5">
      <c r="A5" s="12"/>
      <c r="B5" s="12"/>
      <c r="C5" s="70" t="s">
        <v>55</v>
      </c>
      <c r="D5" s="34" t="s">
        <v>25</v>
      </c>
      <c r="E5" s="31" t="s">
        <v>56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Mutabor102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9</v>
      </c>
      <c r="Y5" s="20">
        <f t="array" ref="Y5">VLOOKUP($U5,$AF$3:$AN$5,5,0)</f>
        <v>9</v>
      </c>
      <c r="Z5" s="20">
        <f t="array" ref="Z5">VLOOKUP($U5,$AF$3:$AN$5,6,0)</f>
        <v>46</v>
      </c>
      <c r="AA5" s="20">
        <f t="array" ref="AA5">VLOOKUP($U5,$AF$3:$AN$5,7,0)</f>
        <v>44</v>
      </c>
      <c r="AB5" s="20">
        <f t="array" ref="AB5">VLOOKUP($U5,$AF$3:$AN$5,8,0)</f>
        <v>2</v>
      </c>
      <c r="AC5" s="20">
        <f t="array" ref="AC5">VLOOKUP($U5,$AF$3:$AN$5,9,0)</f>
        <v>39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10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27">
        <f t="array" ref="AJ5">SUM(('ТУР3'!home=AF5)*('ТУР3'!homescore&lt;'ТУР3'!visitorscore),('ТУР3'!visitor=AF5)*('ТУР3'!visitorscore&lt;'ТУР3'!homescore))</f>
        <v>9</v>
      </c>
      <c r="AK5" s="22">
        <f t="array" ref="AK5">SUMIF('ТУР3'!home,AF5,'ТУР3'!homescore)+SUMIF('ТУР3'!visitor,AF5,'ТУР3'!visitorscore)</f>
        <v>46</v>
      </c>
      <c r="AL5" s="27">
        <f t="array" ref="AL5">SUMIF('ТУР3'!home,AF5,'ТУР3'!visitorscore)+SUMIF('ТУР3'!visitor,AF5,'ТУР3'!homescore)</f>
        <v>44</v>
      </c>
      <c r="AM5" s="27">
        <f t="shared" si="2"/>
        <v>2</v>
      </c>
      <c r="AN5" s="22">
        <f t="array" ref="AN5">AH5*Options!$B$2+AI5*Options!$B$3+AJ5*Options!$B$4+VLOOKUP(AF5,$E$4:$F$8,2,0)</f>
        <v>39</v>
      </c>
      <c r="AO5" s="28">
        <f t="shared" si="3"/>
        <v>3900020046</v>
      </c>
    </row>
    <row r="6">
      <c r="A6" s="12"/>
      <c r="B6" s="12"/>
      <c r="C6" s="29" t="s">
        <v>57</v>
      </c>
      <c r="D6" s="34" t="s">
        <v>28</v>
      </c>
      <c r="E6" s="34" t="s">
        <v>58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7</v>
      </c>
      <c r="Y6" s="20">
        <f t="array" ref="Y6">VLOOKUP($U6,$AF$3:$AN$5,5,0)</f>
        <v>12</v>
      </c>
      <c r="Z6" s="20">
        <f t="array" ref="Z6">VLOOKUP($U6,$AF$3:$AN$5,6,0)</f>
        <v>38</v>
      </c>
      <c r="AA6" s="20">
        <f t="array" ref="AA6">VLOOKUP($U6,$AF$3:$AN$5,7,0)</f>
        <v>43</v>
      </c>
      <c r="AB6" s="20">
        <f t="array" ref="AB6">VLOOKUP($U6,$AF$3:$AN$5,8,0)</f>
        <v>-5</v>
      </c>
      <c r="AC6" s="20">
        <f t="array" ref="AC6">VLOOKUP($U6,$AF$3:$AN$5,9,0)</f>
        <v>34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Pudge</v>
      </c>
      <c r="F12" s="47" t="str">
        <f t="shared" ref="F12:F17" si="7">$E$5</f>
        <v>AVTOMAT</v>
      </c>
      <c r="G12" s="40">
        <f t="shared" ref="G12:G53" si="8">SUM(K12)</f>
        <v>0</v>
      </c>
      <c r="H12" s="19"/>
      <c r="I12" s="40">
        <f t="shared" ref="I12:I18" si="9">SUM(L12)</f>
        <v>0</v>
      </c>
      <c r="J12" s="19"/>
      <c r="K12" s="47">
        <v>0.0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Pudge  - (Канада) AVTOMAT</v>
      </c>
      <c r="V12" s="12" t="str">
        <f t="shared" ref="V12:V53" si="11">TEXT(G12,"0")&amp;":"&amp;TEXT(I12,"0")</f>
        <v>0:0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Pudge</v>
      </c>
      <c r="F13" s="47" t="str">
        <f t="shared" si="7"/>
        <v>AVTOMAT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Pudge  - (Канада) AVTOMAT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Pudge</v>
      </c>
      <c r="F14" s="47" t="str">
        <f t="shared" si="7"/>
        <v>AVTOMAT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Pudge  - (Канада) AVTOMAT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Mutabor102</v>
      </c>
      <c r="F15" s="47" t="str">
        <f t="shared" si="7"/>
        <v>AVTOMAT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Mutabor102  - (Канада) AVTOMAT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Mutabor102</v>
      </c>
      <c r="F16" s="47" t="str">
        <f t="shared" si="7"/>
        <v>AVTOMAT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Mutabor102  - (Канада) AVTOMAT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Mutabor102</v>
      </c>
      <c r="F17" s="47" t="str">
        <f t="shared" si="7"/>
        <v>AVTOMAT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Mutabor102  - (Канада) AVTOMAT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Mutabor102</v>
      </c>
      <c r="F18" s="47" t="str">
        <f t="shared" ref="F18:F23" si="15">$E$4</f>
        <v>Pudge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Mutabor102  - (Швейцария) Pudge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Mutabor102</v>
      </c>
      <c r="F19" s="47" t="str">
        <f t="shared" si="15"/>
        <v>Pudge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Mutabor102  - (Швейцария) Pudge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Mutabor102</v>
      </c>
      <c r="F20" s="47" t="str">
        <f t="shared" si="15"/>
        <v>Pudge</v>
      </c>
      <c r="G20" s="40">
        <f t="shared" si="8"/>
        <v>0</v>
      </c>
      <c r="H20" s="19"/>
      <c r="I20" s="40">
        <f t="shared" si="16"/>
        <v>2</v>
      </c>
      <c r="J20" s="19"/>
      <c r="K20" s="47">
        <v>0.0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Mutabor102  - (Швейцария) Pudge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AVTOMAT</v>
      </c>
      <c r="F21" s="47" t="str">
        <f t="shared" si="15"/>
        <v>Pudge</v>
      </c>
      <c r="G21" s="40">
        <f t="shared" si="8"/>
        <v>0</v>
      </c>
      <c r="H21" s="19"/>
      <c r="I21" s="40">
        <f t="shared" si="16"/>
        <v>1</v>
      </c>
      <c r="J21" s="19"/>
      <c r="K21" s="47">
        <v>0.0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AVTOMAT  - (Швейцария) Pudge</v>
      </c>
      <c r="V21" s="12" t="str">
        <f t="shared" si="11"/>
        <v>0:1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AVTOMAT</v>
      </c>
      <c r="F22" s="47" t="str">
        <f t="shared" si="15"/>
        <v>Pudge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AVTOMAT  - (Швейцария) Pudge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AVTOMAT</v>
      </c>
      <c r="F23" s="47" t="str">
        <f t="shared" si="15"/>
        <v>Pudge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AVTOMAT  - (Швейцария) Pudge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AVTOMAT</v>
      </c>
      <c r="F24" s="51" t="str">
        <f t="shared" ref="F24:F29" si="20">$E$6</f>
        <v>Mutabor102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AVTOMAT  - (США) Mutabor102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AVTOMAT</v>
      </c>
      <c r="F25" s="51" t="str">
        <f t="shared" si="20"/>
        <v>Mutabor102</v>
      </c>
      <c r="G25" s="40">
        <f t="shared" si="8"/>
        <v>1</v>
      </c>
      <c r="H25" s="19"/>
      <c r="I25" s="40">
        <f t="shared" si="21"/>
        <v>2</v>
      </c>
      <c r="J25" s="19"/>
      <c r="K25" s="72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AVTOMAT  - (США) Mutabor102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AVTOMAT</v>
      </c>
      <c r="F26" s="51" t="str">
        <f t="shared" si="20"/>
        <v>Mutabor102</v>
      </c>
      <c r="G26" s="73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AVTOMAT  - (США) Mutabor102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74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Pudge</v>
      </c>
      <c r="F27" s="51" t="str">
        <f t="shared" si="20"/>
        <v>Mutabor102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Pudge  - (США) Mutabor102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74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Pudge</v>
      </c>
      <c r="F28" s="51" t="str">
        <f t="shared" si="20"/>
        <v>Mutabor102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Pudge  - (США) Mutabor102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74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Pudge</v>
      </c>
      <c r="F29" s="51" t="str">
        <f t="shared" si="20"/>
        <v>Mutabor102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Pudge  - (США) Mutabor102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Pudge</v>
      </c>
      <c r="F30" s="47" t="str">
        <f t="shared" ref="F30:F35" si="25">$E$5</f>
        <v>AVTOMAT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Pudge  - (Канада) AVTOMAT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Pudge</v>
      </c>
      <c r="F31" s="47" t="str">
        <f t="shared" si="25"/>
        <v>AVTOMAT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Pudge  - (Канада) AVTOMAT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Pudge</v>
      </c>
      <c r="F32" s="47" t="str">
        <f t="shared" si="25"/>
        <v>AVTOMAT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Pudge  - (Канада) AVTOMAT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Mutabor102</v>
      </c>
      <c r="F33" s="47" t="str">
        <f t="shared" si="25"/>
        <v>AVTOMAT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Mutabor102  - (Канада) AVTOMAT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Mutabor102</v>
      </c>
      <c r="F34" s="47" t="str">
        <f t="shared" si="25"/>
        <v>AVTOMAT</v>
      </c>
      <c r="G34" s="40">
        <f t="shared" si="8"/>
        <v>2</v>
      </c>
      <c r="H34" s="19"/>
      <c r="I34" s="40">
        <f t="shared" si="26"/>
        <v>3</v>
      </c>
      <c r="J34" s="19"/>
      <c r="K34" s="47">
        <v>2.0</v>
      </c>
      <c r="L34" s="47">
        <v>3.0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Mutabor102  - (Канада) AVTOMAT</v>
      </c>
      <c r="V34" s="12" t="str">
        <f t="shared" si="11"/>
        <v>2:3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Mutabor102</v>
      </c>
      <c r="F35" s="47" t="str">
        <f t="shared" si="25"/>
        <v>AVTOMAT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Mutabor102  - (Канада) AVTOMAT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Mutabor102</v>
      </c>
      <c r="F36" s="47" t="str">
        <f t="shared" ref="F36:F41" si="30">$E$4</f>
        <v>Pudge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Mutabor102  - (Швейцария) Pudge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Mutabor102</v>
      </c>
      <c r="F37" s="47" t="str">
        <f t="shared" si="30"/>
        <v>Pudge</v>
      </c>
      <c r="G37" s="40">
        <f t="shared" si="8"/>
        <v>3</v>
      </c>
      <c r="H37" s="19"/>
      <c r="I37" s="40">
        <f t="shared" si="31"/>
        <v>3</v>
      </c>
      <c r="J37" s="19"/>
      <c r="K37" s="47">
        <v>3.0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Mutabor102  - (Швейцария) Pudge</v>
      </c>
      <c r="V37" s="12" t="str">
        <f t="shared" si="11"/>
        <v>3:3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Mutabor102</v>
      </c>
      <c r="F38" s="47" t="str">
        <f t="shared" si="30"/>
        <v>Pudge</v>
      </c>
      <c r="G38" s="40">
        <f t="shared" si="8"/>
        <v>3</v>
      </c>
      <c r="H38" s="19"/>
      <c r="I38" s="40">
        <f t="shared" si="31"/>
        <v>1</v>
      </c>
      <c r="J38" s="19"/>
      <c r="K38" s="47">
        <v>3.0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Mutabor102  - (Швейцария) Pudge</v>
      </c>
      <c r="V38" s="12" t="str">
        <f t="shared" si="11"/>
        <v>3:1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AVTOMAT</v>
      </c>
      <c r="F39" s="47" t="str">
        <f t="shared" si="30"/>
        <v>Pudge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AVTOMAT  - (Швейцария) Pudge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AVTOMAT</v>
      </c>
      <c r="F40" s="47" t="str">
        <f t="shared" si="30"/>
        <v>Pudge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AVTOMAT  - (Швейцария) Pudge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AVTOMAT</v>
      </c>
      <c r="F41" s="47" t="str">
        <f t="shared" si="30"/>
        <v>Pudge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AVTOMAT  - (Швейцария) Pudge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AVTOMAT</v>
      </c>
      <c r="F42" s="47" t="str">
        <f t="shared" ref="F42:F47" si="35">$E$6</f>
        <v>Mutabor102</v>
      </c>
      <c r="G42" s="40">
        <f t="shared" si="8"/>
        <v>0</v>
      </c>
      <c r="H42" s="19"/>
      <c r="I42" s="40">
        <f t="shared" si="31"/>
        <v>2</v>
      </c>
      <c r="J42" s="19"/>
      <c r="K42" s="47">
        <v>0.0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AVTOMAT  - (США) Mutabor102</v>
      </c>
      <c r="V42" s="12" t="str">
        <f t="shared" si="11"/>
        <v>0:2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AVTOMAT</v>
      </c>
      <c r="F43" s="47" t="str">
        <f t="shared" si="35"/>
        <v>Mutabor102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AVTOMAT  - (США) Mutabor102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AVTOMAT</v>
      </c>
      <c r="F44" s="47" t="str">
        <f t="shared" si="35"/>
        <v>Mutabor102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AVTOMAT  - (США) Mutabor102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Pudge</v>
      </c>
      <c r="F45" s="47" t="str">
        <f t="shared" si="35"/>
        <v>Mutabor102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Pudge  - (США) Mutabor102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Pudge</v>
      </c>
      <c r="F46" s="47" t="str">
        <f t="shared" si="35"/>
        <v>Mutabor102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Pudge  - (США) Mutabor102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Pudge</v>
      </c>
      <c r="F47" s="47" t="str">
        <f t="shared" si="35"/>
        <v>Mutabor102</v>
      </c>
      <c r="G47" s="40">
        <f t="shared" si="8"/>
        <v>3</v>
      </c>
      <c r="H47" s="19"/>
      <c r="I47" s="40">
        <f t="shared" si="36"/>
        <v>3</v>
      </c>
      <c r="J47" s="19"/>
      <c r="K47" s="47">
        <v>3.0</v>
      </c>
      <c r="L47" s="47">
        <v>3.0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Pudge  - (США) Mutabor102</v>
      </c>
      <c r="V47" s="12" t="str">
        <f t="shared" si="11"/>
        <v>3:3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Pudge</v>
      </c>
      <c r="F48" s="47" t="str">
        <f t="shared" ref="F48:F51" si="40">$E$5</f>
        <v>AVTOMAT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Pudge  - (Канада) AVTOMAT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Pudge</v>
      </c>
      <c r="F49" s="47" t="str">
        <f t="shared" si="40"/>
        <v>AVTOMAT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Pudge  - (Канада) AVTOMAT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Mutabor102</v>
      </c>
      <c r="F50" s="47" t="str">
        <f t="shared" si="40"/>
        <v>AVTOMAT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Mutabor102  - (Канада) AVTOMAT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Mutabor102</v>
      </c>
      <c r="F51" s="47" t="str">
        <f t="shared" si="40"/>
        <v>AVTOMAT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Mutabor102  - (Канада) AVTOMAT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Mutabor102</v>
      </c>
      <c r="F52" s="47" t="str">
        <f t="shared" ref="F52:F53" si="45">$E$4</f>
        <v>Pudge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Mutabor102  - (Швейцария) Pudge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Mutabor102</v>
      </c>
      <c r="F53" s="47" t="str">
        <f t="shared" si="45"/>
        <v>Pudge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Mutabor102  - (Швейцария) Pudge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59</v>
      </c>
      <c r="F1" s="81">
        <f>'ТУР1'!$F$1</f>
        <v>45683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82"/>
      <c r="U2" s="91" t="str">
        <f>C1</f>
        <v>Bullet shot Cup</v>
      </c>
      <c r="V2" s="92" t="str">
        <f>E1</f>
        <v>ТУР4</v>
      </c>
      <c r="W2" s="93"/>
      <c r="X2" s="93"/>
      <c r="Y2" s="93"/>
      <c r="Z2" s="4"/>
      <c r="AA2" s="94">
        <f>$F$1</f>
        <v>45683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Pudge</v>
      </c>
      <c r="AG3" s="104">
        <f t="array" ref="AG3">SUM(($E$12:$E$56=AF3)*(ISNUMBER($G$12:$G$56)),($F$12:$F$56=AF3)*(ISNUMBER($I$12:$I$56)))</f>
        <v>30</v>
      </c>
      <c r="AH3" s="84">
        <f t="array" ref="AH3">SUM(('ТУР4'!home=AF3)*('ТУР4'!homescore&gt;'ТУР4'!visitorscore),('ТУР4'!visitor=AF3)*('ТУР4'!visitorscore&gt;'ТУР4'!homescore))</f>
        <v>12</v>
      </c>
      <c r="AI3" s="84">
        <f t="array" ref="AI3">SUM(('ТУР4'!home=AF3)*('ТУР4'!homescore='ТУР4'!visitorscore)*ISNUMBER('ТУР4'!visitorscore),('ТУР4'!visitor=AF3)*('ТУР4'!visitorscore='ТУР4'!homescore)*ISNUMBER('ТУР4'!homescore))</f>
        <v>12</v>
      </c>
      <c r="AJ3" s="84">
        <f t="array" ref="AJ3">SUM(('ТУР4'!home=AF3)*('ТУР4'!homescore&lt;'ТУР4'!visitorscore),('ТУР4'!visitor=AF3)*('ТУР4'!visitorscore&lt;'ТУР4'!homescore))</f>
        <v>6</v>
      </c>
      <c r="AK3" s="105">
        <f t="array" ref="AK3">SUMIF('ТУР4'!home,AF3,'ТУР4'!homescore)+SUMIF('ТУР4'!visitor,AF3,'ТУР4'!visitorscore)</f>
        <v>48</v>
      </c>
      <c r="AL3" s="106">
        <f t="array" ref="AL3">SUMIF('ТУР4'!home,AF3,'ТУР4'!visitorscore)+SUMIF('ТУР4'!visitor,AF3,'ТУР4'!homescore)</f>
        <v>40</v>
      </c>
      <c r="AM3" s="84">
        <f t="shared" ref="AM3:AM5" si="2">AK3-AL3</f>
        <v>8</v>
      </c>
      <c r="AN3" s="105">
        <f t="array" ref="AN3">AH3*Options!$B$2+AI3*Options!$B$3+AJ3*Options!$B$4+VLOOKUP(AF3,$E$4:$F$8,2,0)</f>
        <v>48</v>
      </c>
      <c r="AO3" s="85">
        <f t="shared" ref="AO3:AO5" si="3">AK3+AM3*10000+AN3*100000000</f>
        <v>4800080048</v>
      </c>
    </row>
    <row r="4">
      <c r="A4" s="85"/>
      <c r="B4" s="88"/>
      <c r="C4" s="70" t="s">
        <v>52</v>
      </c>
      <c r="D4" s="107" t="s">
        <v>31</v>
      </c>
      <c r="E4" s="31" t="s">
        <v>54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108" t="str">
        <f t="array" ref="U4">INDEX($AF$3:$AF$5,MATCH(LARGE($AO$3:$AO$5-ROW($AO$3:$AO$5)/COUNT($AO$3:$AO$5),ROW(U4)-ROW(U$4)+1),$AO$3:$AO$5-ROW($AO$3:$AO$5)/COUNT($AO$3:$AO$5),0))</f>
        <v>Pudge</v>
      </c>
      <c r="V4" s="101">
        <f t="array" ref="V4">VLOOKUP($U4,$AF$3:$AN$5,2,0)</f>
        <v>30</v>
      </c>
      <c r="W4" s="102">
        <f t="array" ref="W4">VLOOKUP($U4,$AF$3:$AN$5,3,0)</f>
        <v>12</v>
      </c>
      <c r="X4" s="102">
        <f t="array" ref="X4">VLOOKUP($U4,$AF$3:$AN$5,4,0)</f>
        <v>12</v>
      </c>
      <c r="Y4" s="102">
        <f t="array" ref="Y4">VLOOKUP($U4,$AF$3:$AN$5,5,0)</f>
        <v>6</v>
      </c>
      <c r="Z4" s="102">
        <f t="array" ref="Z4">VLOOKUP($U4,$AF$3:$AN$5,6,0)</f>
        <v>48</v>
      </c>
      <c r="AA4" s="102">
        <f t="array" ref="AA4">VLOOKUP($U4,$AF$3:$AN$5,7,0)</f>
        <v>40</v>
      </c>
      <c r="AB4" s="102">
        <f t="array" ref="AB4">VLOOKUP($U4,$AF$3:$AN$5,8,0)</f>
        <v>8</v>
      </c>
      <c r="AC4" s="102">
        <f t="array" ref="AC4">VLOOKUP($U4,$AF$3:$AN$5,9,0)</f>
        <v>48</v>
      </c>
      <c r="AD4" s="28"/>
      <c r="AE4" s="85"/>
      <c r="AF4" s="109" t="str">
        <f t="shared" si="1"/>
        <v>AVTOMAT</v>
      </c>
      <c r="AG4" s="104">
        <f t="array" ref="AG4">SUM(($E$12:$E$56=AF4)*(ISNUMBER($G$12:$G$56)),($F$12:$F$56=AF4)*(ISNUMBER($I$12:$I$56)))</f>
        <v>30</v>
      </c>
      <c r="AH4" s="84">
        <f t="array" ref="AH4">SUM(('ТУР4'!home=AF4)*('ТУР4'!homescore&gt;'ТУР4'!visitorscore),('ТУР4'!visitor=AF4)*('ТУР4'!visitorscore&gt;'ТУР4'!homescore))</f>
        <v>9</v>
      </c>
      <c r="AI4" s="84">
        <f t="array" ref="AI4">SUM(('ТУР4'!home=AF4)*('ТУР4'!homescore='ТУР4'!visitorscore)*ISNUMBER('ТУР4'!visitorscore),('ТУР4'!visitor=AF4)*('ТУР4'!visitorscore='ТУР4'!homescore)*ISNUMBER('ТУР4'!homescore))</f>
        <v>8</v>
      </c>
      <c r="AJ4" s="84">
        <f t="array" ref="AJ4">SUM(('ТУР4'!home=AF4)*('ТУР4'!homescore&lt;'ТУР4'!visitorscore),('ТУР4'!visitor=AF4)*('ТУР4'!visitorscore&lt;'ТУР4'!homescore))</f>
        <v>13</v>
      </c>
      <c r="AK4" s="105">
        <f t="array" ref="AK4">SUMIF('ТУР4'!home,AF4,'ТУР4'!homescore)+SUMIF('ТУР4'!visitor,AF4,'ТУР4'!visitorscore)</f>
        <v>44</v>
      </c>
      <c r="AL4" s="106">
        <f t="array" ref="AL4">SUMIF('ТУР4'!home,AF4,'ТУР4'!visitorscore)+SUMIF('ТУР4'!visitor,AF4,'ТУР4'!homescore)</f>
        <v>49</v>
      </c>
      <c r="AM4" s="84">
        <f t="shared" si="2"/>
        <v>-5</v>
      </c>
      <c r="AN4" s="105">
        <f t="array" ref="AN4">AH4*Options!$B$2+AI4*Options!$B$3+AJ4*Options!$B$4+VLOOKUP(AF4,$E$4:$F$8,2,0)</f>
        <v>35</v>
      </c>
      <c r="AO4" s="85">
        <f t="shared" si="3"/>
        <v>3499950044</v>
      </c>
    </row>
    <row r="5">
      <c r="A5" s="85"/>
      <c r="B5" s="88"/>
      <c r="C5" s="70" t="s">
        <v>55</v>
      </c>
      <c r="D5" s="107" t="s">
        <v>46</v>
      </c>
      <c r="E5" s="31" t="s">
        <v>56</v>
      </c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108" t="str">
        <f t="array" ref="U5">INDEX($AF$3:$AF$5,MATCH(LARGE($AO$3:$AO$5-ROW($AO$3:$AO$5)/COUNT($AO$3:$AO$5),ROW(U5)-ROW(U$4)+1),$AO$3:$AO$5-ROW($AO$3:$AO$5)/COUNT($AO$3:$AO$5),0))</f>
        <v>Mutabor102</v>
      </c>
      <c r="V5" s="101">
        <f t="array" ref="V5">VLOOKUP($U5,$AF$3:$AN$5,2,0)</f>
        <v>30</v>
      </c>
      <c r="W5" s="102">
        <f t="array" ref="W5">VLOOKUP($U5,$AF$3:$AN$5,3,0)</f>
        <v>7</v>
      </c>
      <c r="X5" s="102">
        <f t="array" ref="X5">VLOOKUP($U5,$AF$3:$AN$5,4,0)</f>
        <v>14</v>
      </c>
      <c r="Y5" s="102">
        <f t="array" ref="Y5">VLOOKUP($U5,$AF$3:$AN$5,5,0)</f>
        <v>9</v>
      </c>
      <c r="Z5" s="102">
        <f t="array" ref="Z5">VLOOKUP($U5,$AF$3:$AN$5,6,0)</f>
        <v>43</v>
      </c>
      <c r="AA5" s="102">
        <f t="array" ref="AA5">VLOOKUP($U5,$AF$3:$AN$5,7,0)</f>
        <v>46</v>
      </c>
      <c r="AB5" s="102">
        <f t="array" ref="AB5">VLOOKUP($U5,$AF$3:$AN$5,8,0)</f>
        <v>-3</v>
      </c>
      <c r="AC5" s="102">
        <f t="array" ref="AC5">VLOOKUP($U5,$AF$3:$AN$5,9,0)</f>
        <v>35</v>
      </c>
      <c r="AD5" s="28"/>
      <c r="AE5" s="85"/>
      <c r="AF5" s="109" t="str">
        <f t="shared" si="1"/>
        <v>Mutabor102</v>
      </c>
      <c r="AG5" s="104">
        <f t="array" ref="AG5">SUM(($E$12:$E$56=AF5)*(ISNUMBER($G$12:$G$56)),($F$12:$F$56=AF5)*(ISNUMBER($I$12:$I$56)))</f>
        <v>30</v>
      </c>
      <c r="AH5" s="84">
        <f t="array" ref="AH5">SUM(('ТУР4'!home=AF5)*('ТУР4'!homescore&gt;'ТУР4'!visitorscore),('ТУР4'!visitor=AF5)*('ТУР4'!visitorscore&gt;'ТУР4'!homescore))</f>
        <v>7</v>
      </c>
      <c r="AI5" s="84">
        <f t="array" ref="AI5">SUM(('ТУР4'!home=AF5)*('ТУР4'!homescore='ТУР4'!visitorscore)*ISNUMBER('ТУР4'!visitorscore),('ТУР4'!visitor=AF5)*('ТУР4'!visitorscore='ТУР4'!homescore)*ISNUMBER('ТУР4'!homescore))</f>
        <v>14</v>
      </c>
      <c r="AJ5" s="84">
        <f t="array" ref="AJ5">SUM(('ТУР4'!home=AF5)*('ТУР4'!homescore&lt;'ТУР4'!visitorscore),('ТУР4'!visitor=AF5)*('ТУР4'!visitorscore&lt;'ТУР4'!homescore))</f>
        <v>9</v>
      </c>
      <c r="AK5" s="105">
        <f t="array" ref="AK5">SUMIF('ТУР4'!home,AF5,'ТУР4'!homescore)+SUMIF('ТУР4'!visitor,AF5,'ТУР4'!visitorscore)</f>
        <v>43</v>
      </c>
      <c r="AL5" s="106">
        <f t="array" ref="AL5">SUMIF('ТУР4'!home,AF5,'ТУР4'!visitorscore)+SUMIF('ТУР4'!visitor,AF5,'ТУР4'!homescore)</f>
        <v>46</v>
      </c>
      <c r="AM5" s="84">
        <f t="shared" si="2"/>
        <v>-3</v>
      </c>
      <c r="AN5" s="105">
        <f t="array" ref="AN5">AH5*Options!$B$2+AI5*Options!$B$3+AJ5*Options!$B$4+VLOOKUP(AF5,$E$4:$F$8,2,0)</f>
        <v>35</v>
      </c>
      <c r="AO5" s="85">
        <f t="shared" si="3"/>
        <v>3499970043</v>
      </c>
    </row>
    <row r="6">
      <c r="A6" s="85"/>
      <c r="B6" s="88"/>
      <c r="C6" s="29" t="s">
        <v>57</v>
      </c>
      <c r="D6" s="107" t="s">
        <v>47</v>
      </c>
      <c r="E6" s="34" t="s">
        <v>58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108" t="str">
        <f t="array" ref="U6">INDEX($AF$3:$AF$5,MATCH(LARGE($AO$3:$AO$5-ROW($AO$3:$AO$5)/COUNT($AO$3:$AO$5),ROW(U6)-ROW(U$4)+1),$AO$3:$AO$5-ROW($AO$3:$AO$5)/COUNT($AO$3:$AO$5),0))</f>
        <v>AVTOMAT</v>
      </c>
      <c r="V6" s="101">
        <f t="array" ref="V6">VLOOKUP($U6,$AF$3:$AN$5,2,0)</f>
        <v>30</v>
      </c>
      <c r="W6" s="102">
        <f t="array" ref="W6">VLOOKUP($U6,$AF$3:$AN$5,3,0)</f>
        <v>9</v>
      </c>
      <c r="X6" s="102">
        <f t="array" ref="X6">VLOOKUP($U6,$AF$3:$AN$5,4,0)</f>
        <v>8</v>
      </c>
      <c r="Y6" s="102">
        <f t="array" ref="Y6">VLOOKUP($U6,$AF$3:$AN$5,5,0)</f>
        <v>13</v>
      </c>
      <c r="Z6" s="102">
        <f t="array" ref="Z6">VLOOKUP($U6,$AF$3:$AN$5,6,0)</f>
        <v>44</v>
      </c>
      <c r="AA6" s="102">
        <f t="array" ref="AA6">VLOOKUP($U6,$AF$3:$AN$5,7,0)</f>
        <v>49</v>
      </c>
      <c r="AB6" s="102">
        <f t="array" ref="AB6">VLOOKUP($U6,$AF$3:$AN$5,8,0)</f>
        <v>-5</v>
      </c>
      <c r="AC6" s="102">
        <f t="array" ref="AC6">VLOOKUP($U6,$AF$3:$AN$5,9,0)</f>
        <v>35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36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0.7083333333333334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Pudge</v>
      </c>
      <c r="F12" s="115" t="str">
        <f t="shared" ref="F12:F17" si="7">$E$5</f>
        <v>AVTOMAT</v>
      </c>
      <c r="G12" s="113">
        <f t="shared" ref="G12:G56" si="8">SUM(K12)</f>
        <v>2</v>
      </c>
      <c r="H12" s="115"/>
      <c r="I12" s="113">
        <f t="shared" ref="I12:I18" si="9">SUM(L12)</f>
        <v>2</v>
      </c>
      <c r="J12" s="115"/>
      <c r="K12" s="118">
        <v>2.0</v>
      </c>
      <c r="L12" s="120">
        <v>2.0</v>
      </c>
      <c r="M12" s="121"/>
      <c r="N12" s="89"/>
      <c r="O12" s="89"/>
      <c r="P12" s="89"/>
      <c r="Q12" s="89"/>
      <c r="R12" s="89"/>
      <c r="S12" s="89"/>
      <c r="T12" s="84">
        <v>241.0</v>
      </c>
      <c r="U12" s="122" t="str">
        <f t="shared" ref="U12:U56" si="10">TEXT(B12,"h:mm")&amp;" "&amp;($C$1)&amp;" ("&amp;C12&amp;") "&amp;E12&amp;" "&amp;" - ("&amp;D12&amp;") "&amp;F12&amp;""</f>
        <v>17:00 Bullet shot Cup (Швеция) Pudge  - (Финляндия) AVTOMAT</v>
      </c>
      <c r="V12" s="85" t="str">
        <f t="shared" ref="V12:V56" si="11">TEXT(G12,"0")&amp;":"&amp;TEXT(I12,"0")</f>
        <v>2:2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0.7111111111111111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Pudge</v>
      </c>
      <c r="F13" s="115" t="str">
        <f t="shared" si="7"/>
        <v>AVTOMAT</v>
      </c>
      <c r="G13" s="113">
        <f t="shared" si="8"/>
        <v>3</v>
      </c>
      <c r="H13" s="115"/>
      <c r="I13" s="113">
        <f t="shared" si="9"/>
        <v>1</v>
      </c>
      <c r="J13" s="115"/>
      <c r="K13" s="119">
        <v>3.0</v>
      </c>
      <c r="L13" s="123">
        <v>1.0</v>
      </c>
      <c r="M13" s="121"/>
      <c r="N13" s="89"/>
      <c r="O13" s="89"/>
      <c r="P13" s="89"/>
      <c r="Q13" s="89"/>
      <c r="R13" s="89"/>
      <c r="S13" s="89"/>
      <c r="T13" s="84">
        <v>242.0</v>
      </c>
      <c r="U13" s="122" t="str">
        <f t="shared" si="10"/>
        <v>17:04 Bullet shot Cup (Швеция) Pudge  - (Финляндия) AVTOMAT</v>
      </c>
      <c r="V13" s="85" t="str">
        <f t="shared" si="11"/>
        <v>3:1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0.7138888888888889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Pudge</v>
      </c>
      <c r="F14" s="115" t="str">
        <f t="shared" si="7"/>
        <v>AVTOMAT</v>
      </c>
      <c r="G14" s="113">
        <f t="shared" si="8"/>
        <v>0</v>
      </c>
      <c r="H14" s="115"/>
      <c r="I14" s="113">
        <f t="shared" si="9"/>
        <v>2</v>
      </c>
      <c r="J14" s="115"/>
      <c r="K14" s="119">
        <v>0.0</v>
      </c>
      <c r="L14" s="123">
        <v>2.0</v>
      </c>
      <c r="M14" s="121"/>
      <c r="N14" s="89"/>
      <c r="O14" s="89"/>
      <c r="P14" s="89"/>
      <c r="Q14" s="89"/>
      <c r="R14" s="89"/>
      <c r="S14" s="89"/>
      <c r="T14" s="84">
        <v>243.0</v>
      </c>
      <c r="U14" s="122" t="str">
        <f t="shared" si="10"/>
        <v>17:08 Bullet shot Cup (Швеция) Pudge  - (Финляндия) AVTOMAT</v>
      </c>
      <c r="V14" s="85" t="str">
        <f t="shared" si="11"/>
        <v>0:2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0.7166666666666667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Mutabor102</v>
      </c>
      <c r="F15" s="115" t="str">
        <f t="shared" si="7"/>
        <v>AVTOMAT</v>
      </c>
      <c r="G15" s="113">
        <f t="shared" si="8"/>
        <v>2</v>
      </c>
      <c r="H15" s="115"/>
      <c r="I15" s="113">
        <f t="shared" si="9"/>
        <v>0</v>
      </c>
      <c r="J15" s="115"/>
      <c r="K15" s="119">
        <v>2.0</v>
      </c>
      <c r="L15" s="123">
        <v>0.0</v>
      </c>
      <c r="M15" s="121"/>
      <c r="N15" s="89"/>
      <c r="O15" s="89"/>
      <c r="P15" s="89"/>
      <c r="Q15" s="89"/>
      <c r="R15" s="89"/>
      <c r="S15" s="89"/>
      <c r="T15" s="84">
        <v>244.0</v>
      </c>
      <c r="U15" s="122" t="str">
        <f t="shared" si="10"/>
        <v>17:12 Bullet shot Cup (Чехия) Mutabor102  - (Финляндия) AVTOMAT</v>
      </c>
      <c r="V15" s="85" t="str">
        <f t="shared" si="11"/>
        <v>2:0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0.7194444444444444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Mutabor102</v>
      </c>
      <c r="F16" s="115" t="str">
        <f t="shared" si="7"/>
        <v>AVTOMAT</v>
      </c>
      <c r="G16" s="113">
        <f t="shared" si="8"/>
        <v>2</v>
      </c>
      <c r="H16" s="115"/>
      <c r="I16" s="113">
        <f t="shared" si="9"/>
        <v>1</v>
      </c>
      <c r="J16" s="115"/>
      <c r="K16" s="119">
        <v>2.0</v>
      </c>
      <c r="L16" s="123">
        <v>1.0</v>
      </c>
      <c r="M16" s="121"/>
      <c r="N16" s="89"/>
      <c r="O16" s="89"/>
      <c r="P16" s="89"/>
      <c r="Q16" s="89"/>
      <c r="R16" s="89"/>
      <c r="S16" s="89"/>
      <c r="T16" s="84">
        <v>245.0</v>
      </c>
      <c r="U16" s="122" t="str">
        <f t="shared" si="10"/>
        <v>17:16 Bullet shot Cup (Чехия) Mutabor102  - (Финляндия) AVTOMAT</v>
      </c>
      <c r="V16" s="85" t="str">
        <f t="shared" si="11"/>
        <v>2:1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0.7222222222222222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Mutabor102</v>
      </c>
      <c r="F17" s="115" t="str">
        <f t="shared" si="7"/>
        <v>AVTOMAT</v>
      </c>
      <c r="G17" s="113">
        <f t="shared" si="8"/>
        <v>1</v>
      </c>
      <c r="H17" s="115"/>
      <c r="I17" s="113">
        <f t="shared" si="9"/>
        <v>1</v>
      </c>
      <c r="J17" s="115"/>
      <c r="K17" s="115">
        <v>1.0</v>
      </c>
      <c r="L17" s="115">
        <v>1.0</v>
      </c>
      <c r="M17" s="121"/>
      <c r="N17" s="89"/>
      <c r="O17" s="89"/>
      <c r="P17" s="89"/>
      <c r="Q17" s="89"/>
      <c r="R17" s="89"/>
      <c r="S17" s="89"/>
      <c r="T17" s="84">
        <v>246.0</v>
      </c>
      <c r="U17" s="122" t="str">
        <f t="shared" si="10"/>
        <v>17:20 Bullet shot Cup (Чехия) Mutabor102  - (Финляндия) AVTOMAT</v>
      </c>
      <c r="V17" s="85" t="str">
        <f t="shared" si="11"/>
        <v>1:1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0.725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Mutabor102</v>
      </c>
      <c r="F18" s="115" t="str">
        <f t="shared" ref="F18:F23" si="15">$E$4</f>
        <v>Pudge</v>
      </c>
      <c r="G18" s="113">
        <f t="shared" si="8"/>
        <v>1</v>
      </c>
      <c r="H18" s="115"/>
      <c r="I18" s="113">
        <f t="shared" si="9"/>
        <v>1</v>
      </c>
      <c r="J18" s="115"/>
      <c r="K18" s="118">
        <v>1.0</v>
      </c>
      <c r="L18" s="120">
        <v>1.0</v>
      </c>
      <c r="M18" s="121"/>
      <c r="N18" s="128"/>
      <c r="O18" s="128"/>
      <c r="P18" s="89"/>
      <c r="Q18" s="128"/>
      <c r="R18" s="128"/>
      <c r="S18" s="89"/>
      <c r="T18" s="84">
        <v>247.0</v>
      </c>
      <c r="U18" s="122" t="str">
        <f t="shared" si="10"/>
        <v>17:24 Bullet shot Cup (Чехия) Mutabor102  - (Швеция) Pudge</v>
      </c>
      <c r="V18" s="85" t="str">
        <f t="shared" si="11"/>
        <v>1:1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0.7277777777777777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Mutabor102</v>
      </c>
      <c r="F19" s="115" t="str">
        <f t="shared" si="15"/>
        <v>Pudge</v>
      </c>
      <c r="G19" s="113">
        <f t="shared" si="8"/>
        <v>2</v>
      </c>
      <c r="H19" s="115"/>
      <c r="I19" s="113">
        <f t="shared" ref="I19:I23" si="16">SUM(L19,O19)</f>
        <v>3</v>
      </c>
      <c r="J19" s="115"/>
      <c r="K19" s="119">
        <v>2.0</v>
      </c>
      <c r="L19" s="123">
        <v>3.0</v>
      </c>
      <c r="M19" s="121"/>
      <c r="N19" s="128"/>
      <c r="O19" s="128"/>
      <c r="P19" s="89"/>
      <c r="Q19" s="128"/>
      <c r="R19" s="128"/>
      <c r="S19" s="89"/>
      <c r="T19" s="84">
        <v>248.0</v>
      </c>
      <c r="U19" s="122" t="str">
        <f t="shared" si="10"/>
        <v>17:28 Bullet shot Cup (Чехия) Mutabor102  - (Швеция) Pudge</v>
      </c>
      <c r="V19" s="85" t="str">
        <f t="shared" si="11"/>
        <v>2:3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0.7305555555555555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Mutabor102</v>
      </c>
      <c r="F20" s="115" t="str">
        <f t="shared" si="15"/>
        <v>Pudge</v>
      </c>
      <c r="G20" s="113">
        <f t="shared" si="8"/>
        <v>2</v>
      </c>
      <c r="H20" s="115"/>
      <c r="I20" s="113">
        <f t="shared" si="16"/>
        <v>1</v>
      </c>
      <c r="J20" s="115"/>
      <c r="K20" s="119">
        <v>2.0</v>
      </c>
      <c r="L20" s="123">
        <v>1.0</v>
      </c>
      <c r="M20" s="121"/>
      <c r="N20" s="128"/>
      <c r="O20" s="128"/>
      <c r="P20" s="89"/>
      <c r="Q20" s="128"/>
      <c r="R20" s="128"/>
      <c r="S20" s="89"/>
      <c r="T20" s="84">
        <v>249.0</v>
      </c>
      <c r="U20" s="122" t="str">
        <f t="shared" si="10"/>
        <v>17:32 Bullet shot Cup (Чехия) Mutabor102  - (Швеция) Pudge</v>
      </c>
      <c r="V20" s="85" t="str">
        <f t="shared" si="11"/>
        <v>2:1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0.7333333333333333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AVTOMAT</v>
      </c>
      <c r="F21" s="115" t="str">
        <f t="shared" si="15"/>
        <v>Pudge</v>
      </c>
      <c r="G21" s="113">
        <f t="shared" si="8"/>
        <v>0</v>
      </c>
      <c r="H21" s="115"/>
      <c r="I21" s="113">
        <f t="shared" si="16"/>
        <v>1</v>
      </c>
      <c r="J21" s="115"/>
      <c r="K21" s="119">
        <v>0.0</v>
      </c>
      <c r="L21" s="123">
        <v>1.0</v>
      </c>
      <c r="M21" s="121"/>
      <c r="N21" s="128"/>
      <c r="O21" s="128"/>
      <c r="P21" s="89"/>
      <c r="Q21" s="128"/>
      <c r="R21" s="128"/>
      <c r="S21" s="89"/>
      <c r="T21" s="84">
        <v>250.0</v>
      </c>
      <c r="U21" s="122" t="str">
        <f t="shared" si="10"/>
        <v>17:36 Bullet shot Cup (Финляндия) AVTOMAT  - (Швеция) Pudge</v>
      </c>
      <c r="V21" s="85" t="str">
        <f t="shared" si="11"/>
        <v>0:1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0.7361111111111112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AVTOMAT</v>
      </c>
      <c r="F22" s="115" t="str">
        <f t="shared" si="15"/>
        <v>Pudge</v>
      </c>
      <c r="G22" s="113">
        <f t="shared" si="8"/>
        <v>2</v>
      </c>
      <c r="H22" s="115"/>
      <c r="I22" s="113">
        <f t="shared" si="16"/>
        <v>1</v>
      </c>
      <c r="J22" s="115"/>
      <c r="K22" s="119">
        <v>2.0</v>
      </c>
      <c r="L22" s="123">
        <v>1.0</v>
      </c>
      <c r="M22" s="121"/>
      <c r="N22" s="128"/>
      <c r="O22" s="128"/>
      <c r="P22" s="89"/>
      <c r="Q22" s="128"/>
      <c r="R22" s="128"/>
      <c r="S22" s="89"/>
      <c r="T22" s="84">
        <v>251.0</v>
      </c>
      <c r="U22" s="122" t="str">
        <f t="shared" si="10"/>
        <v>17:40 Bullet shot Cup (Финляндия) AVTOMAT  - (Швеция) Pudge</v>
      </c>
      <c r="V22" s="85" t="str">
        <f t="shared" si="11"/>
        <v>2:1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0.7388888888888889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AVTOMAT</v>
      </c>
      <c r="F23" s="115" t="str">
        <f t="shared" si="15"/>
        <v>Pudge</v>
      </c>
      <c r="G23" s="113">
        <f t="shared" si="8"/>
        <v>2</v>
      </c>
      <c r="H23" s="115"/>
      <c r="I23" s="113">
        <f t="shared" si="16"/>
        <v>3</v>
      </c>
      <c r="J23" s="115"/>
      <c r="K23" s="115">
        <v>2.0</v>
      </c>
      <c r="L23" s="115">
        <v>3.0</v>
      </c>
      <c r="M23" s="121"/>
      <c r="N23" s="89"/>
      <c r="O23" s="89"/>
      <c r="P23" s="89"/>
      <c r="Q23" s="89"/>
      <c r="R23" s="89"/>
      <c r="S23" s="89"/>
      <c r="T23" s="84">
        <v>252.0</v>
      </c>
      <c r="U23" s="122" t="str">
        <f t="shared" si="10"/>
        <v>17:44 Bullet shot Cup (Финляндия) AVTOMAT  - (Швеция) Pudge</v>
      </c>
      <c r="V23" s="85" t="str">
        <f t="shared" si="11"/>
        <v>2:3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0.7416666666666667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AVTOMAT</v>
      </c>
      <c r="F24" s="124" t="str">
        <f t="shared" ref="F24:F29" si="20">$E$6</f>
        <v>Mutabor102</v>
      </c>
      <c r="G24" s="113">
        <f t="shared" si="8"/>
        <v>2</v>
      </c>
      <c r="H24" s="115"/>
      <c r="I24" s="113">
        <f t="shared" ref="I24:I30" si="21">SUM(L24)</f>
        <v>3</v>
      </c>
      <c r="J24" s="115"/>
      <c r="K24" s="118">
        <v>2.0</v>
      </c>
      <c r="L24" s="120">
        <v>3.0</v>
      </c>
      <c r="M24" s="89"/>
      <c r="N24" s="89"/>
      <c r="O24" s="89"/>
      <c r="P24" s="89"/>
      <c r="Q24" s="89"/>
      <c r="R24" s="89"/>
      <c r="S24" s="89"/>
      <c r="T24" s="84">
        <v>253.0</v>
      </c>
      <c r="U24" s="122" t="str">
        <f t="shared" si="10"/>
        <v>17:48 Bullet shot Cup (Финляндия) AVTOMAT  - (Чехия) Mutabor102</v>
      </c>
      <c r="V24" s="85" t="str">
        <f t="shared" si="11"/>
        <v>2:3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0.7444444444444445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AVTOMAT</v>
      </c>
      <c r="F25" s="124" t="str">
        <f t="shared" si="20"/>
        <v>Mutabor102</v>
      </c>
      <c r="G25" s="113">
        <f t="shared" si="8"/>
        <v>1</v>
      </c>
      <c r="H25" s="115"/>
      <c r="I25" s="113">
        <f t="shared" si="21"/>
        <v>1</v>
      </c>
      <c r="J25" s="115"/>
      <c r="K25" s="119">
        <v>1.0</v>
      </c>
      <c r="L25" s="123">
        <v>1.0</v>
      </c>
      <c r="M25" s="89"/>
      <c r="N25" s="89"/>
      <c r="O25" s="89"/>
      <c r="P25" s="89"/>
      <c r="Q25" s="89"/>
      <c r="R25" s="89"/>
      <c r="S25" s="89"/>
      <c r="T25" s="84">
        <v>254.0</v>
      </c>
      <c r="U25" s="122" t="str">
        <f t="shared" si="10"/>
        <v>17:52 Bullet shot Cup (Финляндия) AVTOMAT  - (Чехия) Mutabor102</v>
      </c>
      <c r="V25" s="85" t="str">
        <f t="shared" si="11"/>
        <v>1:1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0.7472222222222222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AVTOMAT</v>
      </c>
      <c r="F26" s="124" t="str">
        <f t="shared" si="20"/>
        <v>Mutabor102</v>
      </c>
      <c r="G26" s="113">
        <f t="shared" si="8"/>
        <v>1</v>
      </c>
      <c r="H26" s="115"/>
      <c r="I26" s="113">
        <f t="shared" si="21"/>
        <v>0</v>
      </c>
      <c r="J26" s="115"/>
      <c r="K26" s="119">
        <v>1.0</v>
      </c>
      <c r="L26" s="123">
        <v>0.0</v>
      </c>
      <c r="M26" s="89"/>
      <c r="N26" s="89"/>
      <c r="O26" s="89"/>
      <c r="P26" s="89"/>
      <c r="Q26" s="89"/>
      <c r="R26" s="89"/>
      <c r="S26" s="89"/>
      <c r="T26" s="84">
        <v>255.0</v>
      </c>
      <c r="U26" s="122" t="str">
        <f t="shared" si="10"/>
        <v>17:56 Bullet shot Cup (Финляндия) AVTOMAT  - (Чехия) Mutabor102</v>
      </c>
      <c r="V26" s="85" t="str">
        <f t="shared" si="11"/>
        <v>1:0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0.75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Pudge</v>
      </c>
      <c r="F27" s="124" t="str">
        <f t="shared" si="20"/>
        <v>Mutabor102</v>
      </c>
      <c r="G27" s="113">
        <f t="shared" si="8"/>
        <v>1</v>
      </c>
      <c r="H27" s="115"/>
      <c r="I27" s="113">
        <f t="shared" si="21"/>
        <v>1</v>
      </c>
      <c r="J27" s="115"/>
      <c r="K27" s="119">
        <v>1.0</v>
      </c>
      <c r="L27" s="123">
        <v>1.0</v>
      </c>
      <c r="M27" s="89"/>
      <c r="N27" s="89"/>
      <c r="O27" s="89"/>
      <c r="P27" s="89"/>
      <c r="Q27" s="89"/>
      <c r="R27" s="89"/>
      <c r="S27" s="89"/>
      <c r="T27" s="84">
        <v>256.0</v>
      </c>
      <c r="U27" s="122" t="str">
        <f t="shared" si="10"/>
        <v>18:00 Bullet shot Cup (Швеция) Pudge  - (Чехия) Mutabor102</v>
      </c>
      <c r="V27" s="85" t="str">
        <f t="shared" si="11"/>
        <v>1:1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0.7527777777777778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Pudge</v>
      </c>
      <c r="F28" s="124" t="str">
        <f t="shared" si="20"/>
        <v>Mutabor102</v>
      </c>
      <c r="G28" s="113">
        <f t="shared" si="8"/>
        <v>1</v>
      </c>
      <c r="H28" s="115"/>
      <c r="I28" s="113">
        <f t="shared" si="21"/>
        <v>1</v>
      </c>
      <c r="J28" s="115"/>
      <c r="K28" s="119">
        <v>1.0</v>
      </c>
      <c r="L28" s="123">
        <v>1.0</v>
      </c>
      <c r="M28" s="89"/>
      <c r="N28" s="89"/>
      <c r="O28" s="89"/>
      <c r="P28" s="89"/>
      <c r="Q28" s="89"/>
      <c r="R28" s="89"/>
      <c r="S28" s="89"/>
      <c r="T28" s="84">
        <v>257.0</v>
      </c>
      <c r="U28" s="122" t="str">
        <f t="shared" si="10"/>
        <v>18:04 Bullet shot Cup (Швеция) Pudge  - (Чехия) Mutabor102</v>
      </c>
      <c r="V28" s="85" t="str">
        <f t="shared" si="11"/>
        <v>1:1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0.7555555555555555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Pudge</v>
      </c>
      <c r="F29" s="124" t="str">
        <f t="shared" si="20"/>
        <v>Mutabor102</v>
      </c>
      <c r="G29" s="113">
        <f t="shared" si="8"/>
        <v>3</v>
      </c>
      <c r="H29" s="115"/>
      <c r="I29" s="113">
        <f t="shared" si="21"/>
        <v>1</v>
      </c>
      <c r="J29" s="115"/>
      <c r="K29" s="115">
        <v>3.0</v>
      </c>
      <c r="L29" s="115">
        <v>1.0</v>
      </c>
      <c r="M29" s="89"/>
      <c r="N29" s="89"/>
      <c r="O29" s="89"/>
      <c r="P29" s="89"/>
      <c r="Q29" s="89"/>
      <c r="R29" s="89"/>
      <c r="S29" s="89"/>
      <c r="T29" s="84">
        <v>258.0</v>
      </c>
      <c r="U29" s="122" t="str">
        <f t="shared" si="10"/>
        <v>18:08 Bullet shot Cup (Швеция) Pudge  - (Чехия) Mutabor102</v>
      </c>
      <c r="V29" s="85" t="str">
        <f t="shared" si="11"/>
        <v>3:1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0.7583333333333333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Pudge</v>
      </c>
      <c r="F30" s="115" t="str">
        <f t="shared" ref="F30:F35" si="25">$E$5</f>
        <v>AVTOMAT</v>
      </c>
      <c r="G30" s="113">
        <f t="shared" si="8"/>
        <v>1</v>
      </c>
      <c r="H30" s="115"/>
      <c r="I30" s="113">
        <f t="shared" si="21"/>
        <v>2</v>
      </c>
      <c r="J30" s="115"/>
      <c r="K30" s="118">
        <v>1.0</v>
      </c>
      <c r="L30" s="120">
        <v>2.0</v>
      </c>
      <c r="M30" s="89"/>
      <c r="N30" s="89"/>
      <c r="O30" s="89"/>
      <c r="P30" s="89"/>
      <c r="Q30" s="89"/>
      <c r="R30" s="89"/>
      <c r="S30" s="89"/>
      <c r="T30" s="84">
        <v>259.0</v>
      </c>
      <c r="U30" s="122" t="str">
        <f t="shared" si="10"/>
        <v>18:12 Bullet shot Cup (Швеция) Pudge  - (Финляндия) AVTOMAT</v>
      </c>
      <c r="V30" s="85" t="str">
        <f t="shared" si="11"/>
        <v>1:2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0.7611111111111111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Pudge</v>
      </c>
      <c r="F31" s="115" t="str">
        <f t="shared" si="25"/>
        <v>AVTOMAT</v>
      </c>
      <c r="G31" s="113">
        <f t="shared" si="8"/>
        <v>2</v>
      </c>
      <c r="H31" s="115"/>
      <c r="I31" s="113">
        <f t="shared" ref="I31:I35" si="26">SUM(L31,O31)</f>
        <v>1</v>
      </c>
      <c r="J31" s="115"/>
      <c r="K31" s="119">
        <v>2.0</v>
      </c>
      <c r="L31" s="123">
        <v>1.0</v>
      </c>
      <c r="M31" s="89"/>
      <c r="N31" s="89"/>
      <c r="O31" s="89"/>
      <c r="P31" s="89"/>
      <c r="Q31" s="89"/>
      <c r="R31" s="89"/>
      <c r="S31" s="89"/>
      <c r="T31" s="84">
        <v>260.0</v>
      </c>
      <c r="U31" s="122" t="str">
        <f t="shared" si="10"/>
        <v>18:16 Bullet shot Cup (Швеция) Pudge  - (Финляндия) AVTOMAT</v>
      </c>
      <c r="V31" s="85" t="str">
        <f t="shared" si="11"/>
        <v>2:1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0.7638888888888888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Pudge</v>
      </c>
      <c r="F32" s="115" t="str">
        <f t="shared" si="25"/>
        <v>AVTOMAT</v>
      </c>
      <c r="G32" s="113">
        <f t="shared" si="8"/>
        <v>0</v>
      </c>
      <c r="H32" s="115"/>
      <c r="I32" s="113">
        <f t="shared" si="26"/>
        <v>2</v>
      </c>
      <c r="J32" s="115"/>
      <c r="K32" s="119">
        <v>0.0</v>
      </c>
      <c r="L32" s="123">
        <v>2.0</v>
      </c>
      <c r="M32" s="89"/>
      <c r="N32" s="89"/>
      <c r="O32" s="89"/>
      <c r="P32" s="89"/>
      <c r="Q32" s="89"/>
      <c r="R32" s="89"/>
      <c r="S32" s="89"/>
      <c r="T32" s="84">
        <v>261.0</v>
      </c>
      <c r="U32" s="122" t="str">
        <f t="shared" si="10"/>
        <v>18:20 Bullet shot Cup (Швеция) Pudge  - (Финляндия) AVTOMAT</v>
      </c>
      <c r="V32" s="85" t="str">
        <f t="shared" si="11"/>
        <v>0:2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0.7666666666666667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Mutabor102</v>
      </c>
      <c r="F33" s="115" t="str">
        <f t="shared" si="25"/>
        <v>AVTOMAT</v>
      </c>
      <c r="G33" s="113">
        <f t="shared" si="8"/>
        <v>1</v>
      </c>
      <c r="H33" s="115"/>
      <c r="I33" s="113">
        <f t="shared" si="26"/>
        <v>2</v>
      </c>
      <c r="J33" s="115"/>
      <c r="K33" s="119">
        <v>1.0</v>
      </c>
      <c r="L33" s="123">
        <v>2.0</v>
      </c>
      <c r="M33" s="89"/>
      <c r="N33" s="89"/>
      <c r="O33" s="89"/>
      <c r="P33" s="89"/>
      <c r="Q33" s="89"/>
      <c r="R33" s="89"/>
      <c r="S33" s="89"/>
      <c r="T33" s="84">
        <v>262.0</v>
      </c>
      <c r="U33" s="122" t="str">
        <f t="shared" si="10"/>
        <v>18:24 Bullet shot Cup (Чехия) Mutabor102  - (Финляндия) AVTOMAT</v>
      </c>
      <c r="V33" s="85" t="str">
        <f t="shared" si="11"/>
        <v>1:2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0.7694444444444445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Mutabor102</v>
      </c>
      <c r="F34" s="115" t="str">
        <f t="shared" si="25"/>
        <v>AVTOMAT</v>
      </c>
      <c r="G34" s="113">
        <f t="shared" si="8"/>
        <v>1</v>
      </c>
      <c r="H34" s="115"/>
      <c r="I34" s="113">
        <f t="shared" si="26"/>
        <v>2</v>
      </c>
      <c r="J34" s="115"/>
      <c r="K34" s="119">
        <v>1.0</v>
      </c>
      <c r="L34" s="123">
        <v>2.0</v>
      </c>
      <c r="M34" s="89"/>
      <c r="N34" s="89"/>
      <c r="O34" s="89"/>
      <c r="P34" s="89"/>
      <c r="Q34" s="89"/>
      <c r="R34" s="89"/>
      <c r="S34" s="89"/>
      <c r="T34" s="84">
        <v>263.0</v>
      </c>
      <c r="U34" s="122" t="str">
        <f t="shared" si="10"/>
        <v>18:28 Bullet shot Cup (Чехия) Mutabor102  - (Финляндия) AVTOMAT</v>
      </c>
      <c r="V34" s="85" t="str">
        <f t="shared" si="11"/>
        <v>1:2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0.7722222222222223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Mutabor102</v>
      </c>
      <c r="F35" s="115" t="str">
        <f t="shared" si="25"/>
        <v>AVTOMAT</v>
      </c>
      <c r="G35" s="113">
        <f t="shared" si="8"/>
        <v>2</v>
      </c>
      <c r="H35" s="115"/>
      <c r="I35" s="113">
        <f t="shared" si="26"/>
        <v>2</v>
      </c>
      <c r="J35" s="115"/>
      <c r="K35" s="115">
        <v>2.0</v>
      </c>
      <c r="L35" s="115">
        <v>2.0</v>
      </c>
      <c r="M35" s="89"/>
      <c r="N35" s="89"/>
      <c r="O35" s="89"/>
      <c r="P35" s="89"/>
      <c r="Q35" s="89"/>
      <c r="R35" s="89"/>
      <c r="S35" s="89"/>
      <c r="T35" s="84">
        <v>264.0</v>
      </c>
      <c r="U35" s="122" t="str">
        <f t="shared" si="10"/>
        <v>18:32 Bullet shot Cup (Чехия) Mutabor102  - (Финляндия) AVTOMAT</v>
      </c>
      <c r="V35" s="85" t="str">
        <f t="shared" si="11"/>
        <v>2:2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0.775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Mutabor102</v>
      </c>
      <c r="F36" s="115" t="str">
        <f t="shared" ref="F36:F41" si="30">$E$4</f>
        <v>Pudge</v>
      </c>
      <c r="G36" s="113">
        <f t="shared" si="8"/>
        <v>2</v>
      </c>
      <c r="H36" s="115"/>
      <c r="I36" s="113">
        <f t="shared" ref="I36:I42" si="31">SUM(L36)</f>
        <v>2</v>
      </c>
      <c r="J36" s="115"/>
      <c r="K36" s="118">
        <v>2.0</v>
      </c>
      <c r="L36" s="120">
        <v>2.0</v>
      </c>
      <c r="M36" s="89"/>
      <c r="N36" s="89"/>
      <c r="O36" s="89"/>
      <c r="P36" s="89"/>
      <c r="Q36" s="89"/>
      <c r="R36" s="89"/>
      <c r="S36" s="89"/>
      <c r="T36" s="84">
        <v>265.0</v>
      </c>
      <c r="U36" s="122" t="str">
        <f t="shared" si="10"/>
        <v>18:36 Bullet shot Cup (Чехия) Mutabor102  - (Швеция) Pudge</v>
      </c>
      <c r="V36" s="85" t="str">
        <f t="shared" si="11"/>
        <v>2:2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0.7777777777777778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Mutabor102</v>
      </c>
      <c r="F37" s="115" t="str">
        <f t="shared" si="30"/>
        <v>Pudge</v>
      </c>
      <c r="G37" s="113">
        <f t="shared" si="8"/>
        <v>2</v>
      </c>
      <c r="H37" s="115"/>
      <c r="I37" s="113">
        <f t="shared" si="31"/>
        <v>2</v>
      </c>
      <c r="J37" s="115"/>
      <c r="K37" s="119">
        <v>2.0</v>
      </c>
      <c r="L37" s="123">
        <v>2.0</v>
      </c>
      <c r="M37" s="89"/>
      <c r="N37" s="89"/>
      <c r="O37" s="89"/>
      <c r="P37" s="89"/>
      <c r="Q37" s="89"/>
      <c r="R37" s="89"/>
      <c r="S37" s="89"/>
      <c r="T37" s="84">
        <v>266.0</v>
      </c>
      <c r="U37" s="122" t="str">
        <f t="shared" si="10"/>
        <v>18:40 Bullet shot Cup (Чехия) Mutabor102  - (Швеция) Pudge</v>
      </c>
      <c r="V37" s="85" t="str">
        <f t="shared" si="11"/>
        <v>2:2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0.7805555555555556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Mutabor102</v>
      </c>
      <c r="F38" s="115" t="str">
        <f t="shared" si="30"/>
        <v>Pudge</v>
      </c>
      <c r="G38" s="113">
        <f t="shared" si="8"/>
        <v>1</v>
      </c>
      <c r="H38" s="115"/>
      <c r="I38" s="113">
        <f t="shared" si="31"/>
        <v>2</v>
      </c>
      <c r="J38" s="115"/>
      <c r="K38" s="119">
        <v>1.0</v>
      </c>
      <c r="L38" s="123">
        <v>2.0</v>
      </c>
      <c r="M38" s="89"/>
      <c r="N38" s="89"/>
      <c r="O38" s="89"/>
      <c r="P38" s="89"/>
      <c r="Q38" s="89"/>
      <c r="R38" s="89"/>
      <c r="S38" s="89"/>
      <c r="T38" s="84">
        <v>267.0</v>
      </c>
      <c r="U38" s="122" t="str">
        <f t="shared" si="10"/>
        <v>18:44 Bullet shot Cup (Чехия) Mutabor102  - (Швеция) Pudge</v>
      </c>
      <c r="V38" s="85" t="str">
        <f t="shared" si="11"/>
        <v>1:2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0.7833333333333333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AVTOMAT</v>
      </c>
      <c r="F39" s="115" t="str">
        <f t="shared" si="30"/>
        <v>Pudge</v>
      </c>
      <c r="G39" s="113">
        <f t="shared" si="8"/>
        <v>1</v>
      </c>
      <c r="H39" s="115"/>
      <c r="I39" s="113">
        <f t="shared" si="31"/>
        <v>2</v>
      </c>
      <c r="J39" s="115"/>
      <c r="K39" s="119">
        <v>1.0</v>
      </c>
      <c r="L39" s="123">
        <v>2.0</v>
      </c>
      <c r="M39" s="89"/>
      <c r="N39" s="89"/>
      <c r="O39" s="89"/>
      <c r="P39" s="89"/>
      <c r="Q39" s="89"/>
      <c r="R39" s="89"/>
      <c r="S39" s="89"/>
      <c r="T39" s="84">
        <v>268.0</v>
      </c>
      <c r="U39" s="122" t="str">
        <f t="shared" si="10"/>
        <v>18:48 Bullet shot Cup (Финляндия) AVTOMAT  - (Швеция) Pudge</v>
      </c>
      <c r="V39" s="85" t="str">
        <f t="shared" si="11"/>
        <v>1:2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0.7861111111111111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AVTOMAT</v>
      </c>
      <c r="F40" s="115" t="str">
        <f t="shared" si="30"/>
        <v>Pudge</v>
      </c>
      <c r="G40" s="113">
        <f t="shared" si="8"/>
        <v>2</v>
      </c>
      <c r="H40" s="115"/>
      <c r="I40" s="113">
        <f t="shared" si="31"/>
        <v>3</v>
      </c>
      <c r="J40" s="115"/>
      <c r="K40" s="119">
        <v>2.0</v>
      </c>
      <c r="L40" s="123">
        <v>3.0</v>
      </c>
      <c r="M40" s="89"/>
      <c r="N40" s="89"/>
      <c r="O40" s="89"/>
      <c r="P40" s="89"/>
      <c r="Q40" s="89"/>
      <c r="R40" s="89"/>
      <c r="S40" s="89"/>
      <c r="T40" s="84">
        <v>269.0</v>
      </c>
      <c r="U40" s="122" t="str">
        <f t="shared" si="10"/>
        <v>18:52 Bullet shot Cup (Финляндия) AVTOMAT  - (Швеция) Pudge</v>
      </c>
      <c r="V40" s="85" t="str">
        <f t="shared" si="11"/>
        <v>2:3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0.7888888888888889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AVTOMAT</v>
      </c>
      <c r="F41" s="115" t="str">
        <f t="shared" si="30"/>
        <v>Pudge</v>
      </c>
      <c r="G41" s="113">
        <f t="shared" si="8"/>
        <v>1</v>
      </c>
      <c r="H41" s="115"/>
      <c r="I41" s="113">
        <f t="shared" si="31"/>
        <v>2</v>
      </c>
      <c r="J41" s="115"/>
      <c r="K41" s="115">
        <v>1.0</v>
      </c>
      <c r="L41" s="115">
        <v>2.0</v>
      </c>
      <c r="M41" s="89"/>
      <c r="N41" s="89"/>
      <c r="O41" s="89"/>
      <c r="P41" s="89"/>
      <c r="Q41" s="89"/>
      <c r="R41" s="89"/>
      <c r="S41" s="89"/>
      <c r="T41" s="84">
        <v>270.0</v>
      </c>
      <c r="U41" s="122" t="str">
        <f t="shared" si="10"/>
        <v>18:56 Bullet shot Cup (Финляндия) AVTOMAT  - (Швеция) Pudge</v>
      </c>
      <c r="V41" s="85" t="str">
        <f t="shared" si="11"/>
        <v>1:2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0.7916666666666666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AVTOMAT</v>
      </c>
      <c r="F42" s="115" t="str">
        <f t="shared" ref="F42:F47" si="35">$E$6</f>
        <v>Mutabor102</v>
      </c>
      <c r="G42" s="113">
        <f t="shared" si="8"/>
        <v>2</v>
      </c>
      <c r="H42" s="115"/>
      <c r="I42" s="113">
        <f t="shared" si="31"/>
        <v>3</v>
      </c>
      <c r="J42" s="115"/>
      <c r="K42" s="118">
        <v>2.0</v>
      </c>
      <c r="L42" s="120">
        <v>3.0</v>
      </c>
      <c r="M42" s="89"/>
      <c r="N42" s="89"/>
      <c r="O42" s="89"/>
      <c r="P42" s="89"/>
      <c r="Q42" s="89"/>
      <c r="R42" s="89"/>
      <c r="S42" s="89"/>
      <c r="T42" s="84">
        <v>271.0</v>
      </c>
      <c r="U42" s="122" t="str">
        <f t="shared" si="10"/>
        <v>19:00 Bullet shot Cup (Финляндия) AVTOMAT  - (Чехия) Mutabor102</v>
      </c>
      <c r="V42" s="85" t="str">
        <f t="shared" si="11"/>
        <v>2:3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0.7944444444444444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AVTOMAT</v>
      </c>
      <c r="F43" s="115" t="str">
        <f t="shared" si="35"/>
        <v>Mutabor102</v>
      </c>
      <c r="G43" s="113">
        <f t="shared" si="8"/>
        <v>2</v>
      </c>
      <c r="H43" s="115"/>
      <c r="I43" s="113">
        <f t="shared" ref="I43:I47" si="36">SUM(L43,O43)</f>
        <v>2</v>
      </c>
      <c r="J43" s="115"/>
      <c r="K43" s="119">
        <v>2.0</v>
      </c>
      <c r="L43" s="123">
        <v>2.0</v>
      </c>
      <c r="M43" s="89"/>
      <c r="N43" s="89"/>
      <c r="O43" s="89"/>
      <c r="P43" s="89"/>
      <c r="Q43" s="89"/>
      <c r="R43" s="89"/>
      <c r="S43" s="89"/>
      <c r="T43" s="84">
        <v>272.0</v>
      </c>
      <c r="U43" s="122" t="str">
        <f t="shared" si="10"/>
        <v>19:04 Bullet shot Cup (Финляндия) AVTOMAT  - (Чехия) Mutabor102</v>
      </c>
      <c r="V43" s="85" t="str">
        <f t="shared" si="11"/>
        <v>2:2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0.7972222222222223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AVTOMAT</v>
      </c>
      <c r="F44" s="115" t="str">
        <f t="shared" si="35"/>
        <v>Mutabor102</v>
      </c>
      <c r="G44" s="113">
        <f t="shared" si="8"/>
        <v>2</v>
      </c>
      <c r="H44" s="115"/>
      <c r="I44" s="113">
        <f t="shared" si="36"/>
        <v>2</v>
      </c>
      <c r="J44" s="115"/>
      <c r="K44" s="119">
        <v>2.0</v>
      </c>
      <c r="L44" s="123">
        <v>2.0</v>
      </c>
      <c r="M44" s="89"/>
      <c r="N44" s="89"/>
      <c r="O44" s="89"/>
      <c r="P44" s="89"/>
      <c r="Q44" s="89"/>
      <c r="R44" s="89"/>
      <c r="S44" s="89"/>
      <c r="T44" s="84">
        <v>273.0</v>
      </c>
      <c r="U44" s="122" t="str">
        <f t="shared" si="10"/>
        <v>19:08 Bullet shot Cup (Финляндия) AVTOMAT  - (Чехия) Mutabor102</v>
      </c>
      <c r="V44" s="85" t="str">
        <f t="shared" si="11"/>
        <v>2:2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0.8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Pudge</v>
      </c>
      <c r="F45" s="115" t="str">
        <f t="shared" si="35"/>
        <v>Mutabor102</v>
      </c>
      <c r="G45" s="113">
        <f t="shared" si="8"/>
        <v>0</v>
      </c>
      <c r="H45" s="115"/>
      <c r="I45" s="113">
        <f t="shared" si="36"/>
        <v>1</v>
      </c>
      <c r="J45" s="115"/>
      <c r="K45" s="119">
        <v>0.0</v>
      </c>
      <c r="L45" s="123">
        <v>1.0</v>
      </c>
      <c r="M45" s="89"/>
      <c r="N45" s="89"/>
      <c r="O45" s="89"/>
      <c r="P45" s="89"/>
      <c r="Q45" s="89"/>
      <c r="R45" s="89"/>
      <c r="S45" s="89"/>
      <c r="T45" s="84">
        <v>274.0</v>
      </c>
      <c r="U45" s="122" t="str">
        <f t="shared" si="10"/>
        <v>19:12 Bullet shot Cup (Швеция) Pudge  - (Чехия) Mutabor102</v>
      </c>
      <c r="V45" s="85" t="str">
        <f t="shared" si="11"/>
        <v>0:1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0.8027777777777778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Pudge</v>
      </c>
      <c r="F46" s="115" t="str">
        <f t="shared" si="35"/>
        <v>Mutabor102</v>
      </c>
      <c r="G46" s="113">
        <f t="shared" si="8"/>
        <v>2</v>
      </c>
      <c r="H46" s="115"/>
      <c r="I46" s="113">
        <f t="shared" si="36"/>
        <v>0</v>
      </c>
      <c r="J46" s="115"/>
      <c r="K46" s="119">
        <v>2.0</v>
      </c>
      <c r="L46" s="123">
        <v>0.0</v>
      </c>
      <c r="M46" s="89"/>
      <c r="N46" s="89"/>
      <c r="O46" s="89"/>
      <c r="P46" s="89"/>
      <c r="Q46" s="89"/>
      <c r="R46" s="89"/>
      <c r="S46" s="89"/>
      <c r="T46" s="84">
        <v>275.0</v>
      </c>
      <c r="U46" s="122" t="str">
        <f t="shared" si="10"/>
        <v>19:16 Bullet shot Cup (Швеция) Pudge  - (Чехия) Mutabor102</v>
      </c>
      <c r="V46" s="85" t="str">
        <f t="shared" si="11"/>
        <v>2:0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0.8055555555555556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Pudge</v>
      </c>
      <c r="F47" s="115" t="str">
        <f t="shared" si="35"/>
        <v>Mutabor102</v>
      </c>
      <c r="G47" s="113">
        <f t="shared" si="8"/>
        <v>1</v>
      </c>
      <c r="H47" s="115"/>
      <c r="I47" s="113">
        <f t="shared" si="36"/>
        <v>1</v>
      </c>
      <c r="J47" s="115"/>
      <c r="K47" s="115">
        <v>1.0</v>
      </c>
      <c r="L47" s="115">
        <v>1.0</v>
      </c>
      <c r="M47" s="89"/>
      <c r="N47" s="89"/>
      <c r="O47" s="89"/>
      <c r="P47" s="89"/>
      <c r="Q47" s="89"/>
      <c r="R47" s="89"/>
      <c r="S47" s="89"/>
      <c r="T47" s="84">
        <v>276.0</v>
      </c>
      <c r="U47" s="122" t="str">
        <f t="shared" si="10"/>
        <v>19:20 Bullet shot Cup (Швеция) Pudge  - (Чехия) Mutabor102</v>
      </c>
      <c r="V47" s="85" t="str">
        <f t="shared" si="11"/>
        <v>1:1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0.8083333333333333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Pudge</v>
      </c>
      <c r="F48" s="115" t="str">
        <f t="shared" ref="F48:F53" si="40">$E$5</f>
        <v>AVTOMAT</v>
      </c>
      <c r="G48" s="113">
        <f t="shared" si="8"/>
        <v>2</v>
      </c>
      <c r="H48" s="115"/>
      <c r="I48" s="113">
        <f>SUM(L48)</f>
        <v>2</v>
      </c>
      <c r="J48" s="115"/>
      <c r="K48" s="118">
        <v>2.0</v>
      </c>
      <c r="L48" s="120">
        <v>2.0</v>
      </c>
      <c r="M48" s="85"/>
      <c r="N48" s="85"/>
      <c r="O48" s="85"/>
      <c r="P48" s="85"/>
      <c r="Q48" s="85"/>
      <c r="R48" s="85"/>
      <c r="S48" s="85"/>
      <c r="T48" s="84">
        <v>277.0</v>
      </c>
      <c r="U48" s="122" t="str">
        <f t="shared" si="10"/>
        <v>19:24 Bullet shot Cup (Швеция) Pudge  - (Финляндия) AVTOMAT</v>
      </c>
      <c r="V48" s="85" t="str">
        <f t="shared" si="11"/>
        <v>2:2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0.8111111111111111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Pudge</v>
      </c>
      <c r="F49" s="115" t="str">
        <f t="shared" si="40"/>
        <v>AVTOMAT</v>
      </c>
      <c r="G49" s="113">
        <f t="shared" si="8"/>
        <v>2</v>
      </c>
      <c r="H49" s="115"/>
      <c r="I49" s="113">
        <f t="shared" ref="I49:I53" si="41">SUM(L49,O49)</f>
        <v>0</v>
      </c>
      <c r="J49" s="115"/>
      <c r="K49" s="119">
        <v>2.0</v>
      </c>
      <c r="L49" s="123">
        <v>0.0</v>
      </c>
      <c r="M49" s="85"/>
      <c r="N49" s="85"/>
      <c r="O49" s="85"/>
      <c r="P49" s="85"/>
      <c r="Q49" s="85"/>
      <c r="R49" s="85"/>
      <c r="S49" s="85"/>
      <c r="T49" s="84">
        <v>278.0</v>
      </c>
      <c r="U49" s="122" t="str">
        <f t="shared" si="10"/>
        <v>19:28 Bullet shot Cup (Швеция) Pudge  - (Финляндия) AVTOMAT</v>
      </c>
      <c r="V49" s="85" t="str">
        <f t="shared" si="11"/>
        <v>2:0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0.8138888888888889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Pudge</v>
      </c>
      <c r="F50" s="115" t="str">
        <f t="shared" si="40"/>
        <v>AVTOMAT</v>
      </c>
      <c r="G50" s="113">
        <f t="shared" si="8"/>
        <v>1</v>
      </c>
      <c r="H50" s="115"/>
      <c r="I50" s="113">
        <f t="shared" si="41"/>
        <v>1</v>
      </c>
      <c r="J50" s="115"/>
      <c r="K50" s="119">
        <v>1.0</v>
      </c>
      <c r="L50" s="123">
        <v>1.0</v>
      </c>
      <c r="M50" s="85"/>
      <c r="N50" s="85"/>
      <c r="O50" s="85"/>
      <c r="P50" s="85"/>
      <c r="Q50" s="85"/>
      <c r="R50" s="85"/>
      <c r="S50" s="85"/>
      <c r="T50" s="84">
        <v>279.0</v>
      </c>
      <c r="U50" s="122" t="str">
        <f t="shared" si="10"/>
        <v>19:32 Bullet shot Cup (Швеция) Pudge  - (Финляндия) AVTOMAT</v>
      </c>
      <c r="V50" s="85" t="str">
        <f t="shared" si="11"/>
        <v>1:1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0.8166666666666667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Mutabor102</v>
      </c>
      <c r="F51" s="115" t="str">
        <f t="shared" si="40"/>
        <v>AVTOMAT</v>
      </c>
      <c r="G51" s="113">
        <f t="shared" si="8"/>
        <v>2</v>
      </c>
      <c r="H51" s="115"/>
      <c r="I51" s="113">
        <f t="shared" si="41"/>
        <v>1</v>
      </c>
      <c r="J51" s="115"/>
      <c r="K51" s="119">
        <v>2.0</v>
      </c>
      <c r="L51" s="123">
        <v>1.0</v>
      </c>
      <c r="M51" s="85"/>
      <c r="N51" s="85"/>
      <c r="O51" s="85"/>
      <c r="P51" s="85"/>
      <c r="Q51" s="85"/>
      <c r="R51" s="85"/>
      <c r="S51" s="85"/>
      <c r="T51" s="84">
        <v>280.0</v>
      </c>
      <c r="U51" s="122" t="str">
        <f t="shared" si="10"/>
        <v>19:36 Bullet shot Cup (Чехия) Mutabor102  - (Финляндия) AVTOMAT</v>
      </c>
      <c r="V51" s="85" t="str">
        <f t="shared" si="11"/>
        <v>2:1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0.8194444444444444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Mutabor102</v>
      </c>
      <c r="F52" s="115" t="str">
        <f t="shared" si="40"/>
        <v>AVTOMAT</v>
      </c>
      <c r="G52" s="113">
        <f t="shared" si="8"/>
        <v>1</v>
      </c>
      <c r="H52" s="115"/>
      <c r="I52" s="113">
        <f t="shared" si="41"/>
        <v>2</v>
      </c>
      <c r="J52" s="115"/>
      <c r="K52" s="119">
        <v>1.0</v>
      </c>
      <c r="L52" s="123">
        <v>2.0</v>
      </c>
      <c r="M52" s="85"/>
      <c r="N52" s="85"/>
      <c r="O52" s="85"/>
      <c r="P52" s="85"/>
      <c r="Q52" s="85"/>
      <c r="R52" s="85"/>
      <c r="S52" s="85"/>
      <c r="T52" s="84">
        <v>281.0</v>
      </c>
      <c r="U52" s="122" t="str">
        <f t="shared" si="10"/>
        <v>19:40 Bullet shot Cup (Чехия) Mutabor102  - (Финляндия) AVTOMAT</v>
      </c>
      <c r="V52" s="85" t="str">
        <f t="shared" si="11"/>
        <v>1:2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0.8222222222222222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Mutabor102</v>
      </c>
      <c r="F53" s="115" t="str">
        <f t="shared" si="40"/>
        <v>AVTOMAT</v>
      </c>
      <c r="G53" s="113">
        <f t="shared" si="8"/>
        <v>1</v>
      </c>
      <c r="H53" s="115"/>
      <c r="I53" s="113">
        <f t="shared" si="41"/>
        <v>2</v>
      </c>
      <c r="J53" s="115"/>
      <c r="K53" s="115">
        <v>1.0</v>
      </c>
      <c r="L53" s="115">
        <v>2.0</v>
      </c>
      <c r="M53" s="85"/>
      <c r="N53" s="85"/>
      <c r="O53" s="85"/>
      <c r="P53" s="85"/>
      <c r="Q53" s="85"/>
      <c r="R53" s="85"/>
      <c r="S53" s="85"/>
      <c r="T53" s="84">
        <v>282.0</v>
      </c>
      <c r="U53" s="122" t="str">
        <f t="shared" si="10"/>
        <v>19:44 Bullet shot Cup (Чехия) Mutabor102  - (Финляндия) AVTOMAT</v>
      </c>
      <c r="V53" s="85" t="str">
        <f t="shared" si="11"/>
        <v>1:2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0.825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Mutabor102</v>
      </c>
      <c r="F54" s="115" t="str">
        <f t="shared" ref="F54:F56" si="45">$E$4</f>
        <v>Pudge</v>
      </c>
      <c r="G54" s="113">
        <f t="shared" si="8"/>
        <v>2</v>
      </c>
      <c r="H54" s="115"/>
      <c r="I54" s="113">
        <f t="shared" ref="I54:I56" si="46">SUM(L54)</f>
        <v>2</v>
      </c>
      <c r="J54" s="115"/>
      <c r="K54" s="118">
        <v>2.0</v>
      </c>
      <c r="L54" s="120">
        <v>2.0</v>
      </c>
      <c r="M54" s="85"/>
      <c r="N54" s="85"/>
      <c r="O54" s="85"/>
      <c r="P54" s="85"/>
      <c r="Q54" s="85"/>
      <c r="R54" s="85"/>
      <c r="S54" s="85"/>
      <c r="T54" s="84">
        <v>283.0</v>
      </c>
      <c r="U54" s="122" t="str">
        <f t="shared" si="10"/>
        <v>19:48 Bullet shot Cup (Чехия) Mutabor102  - (Швеция) Pudge</v>
      </c>
      <c r="V54" s="85" t="str">
        <f t="shared" si="11"/>
        <v>2:2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0.8277777777777777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Mutabor102</v>
      </c>
      <c r="F55" s="115" t="str">
        <f t="shared" si="45"/>
        <v>Pudge</v>
      </c>
      <c r="G55" s="113">
        <f t="shared" si="8"/>
        <v>0</v>
      </c>
      <c r="H55" s="115"/>
      <c r="I55" s="113">
        <f t="shared" si="46"/>
        <v>0</v>
      </c>
      <c r="J55" s="115"/>
      <c r="K55" s="119">
        <v>0.0</v>
      </c>
      <c r="L55" s="123">
        <v>0.0</v>
      </c>
      <c r="M55" s="85"/>
      <c r="N55" s="85"/>
      <c r="O55" s="85"/>
      <c r="P55" s="85"/>
      <c r="Q55" s="85"/>
      <c r="R55" s="85"/>
      <c r="S55" s="85"/>
      <c r="T55" s="84">
        <v>284.0</v>
      </c>
      <c r="U55" s="122" t="str">
        <f t="shared" si="10"/>
        <v>19:52 Bullet shot Cup (Чехия) Mutabor102  - (Швеция) Pudge</v>
      </c>
      <c r="V55" s="85" t="str">
        <f t="shared" si="11"/>
        <v>0:0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0.8305555555555556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Mutabor102</v>
      </c>
      <c r="F56" s="115" t="str">
        <f t="shared" si="45"/>
        <v>Pudge</v>
      </c>
      <c r="G56" s="113">
        <f t="shared" si="8"/>
        <v>2</v>
      </c>
      <c r="H56" s="115"/>
      <c r="I56" s="113">
        <f t="shared" si="46"/>
        <v>2</v>
      </c>
      <c r="J56" s="115"/>
      <c r="K56" s="119">
        <v>2.0</v>
      </c>
      <c r="L56" s="123">
        <v>2.0</v>
      </c>
      <c r="M56" s="85"/>
      <c r="N56" s="85"/>
      <c r="O56" s="85"/>
      <c r="P56" s="85"/>
      <c r="Q56" s="85"/>
      <c r="R56" s="85"/>
      <c r="S56" s="85"/>
      <c r="T56" s="84">
        <v>285.0</v>
      </c>
      <c r="U56" s="122" t="str">
        <f t="shared" si="10"/>
        <v>19:56 Bullet shot Cup (Чехия) Mutabor102  - (Швеция) Pudge</v>
      </c>
      <c r="V56" s="85" t="str">
        <f t="shared" si="11"/>
        <v>2:2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84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84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84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4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4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4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4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4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4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4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4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4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4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4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4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4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4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4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4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4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4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4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4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4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4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4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4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4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4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4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4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4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4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4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4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4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4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4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4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4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4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4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4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4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4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4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4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4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4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4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4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4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4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4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4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4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4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4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4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4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4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4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4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4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4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4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4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4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4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4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4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4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4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4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4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4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4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4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4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4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4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4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4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4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4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4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4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4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4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4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4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4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4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4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4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4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4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4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4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4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4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4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4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4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4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4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4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4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4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4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4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4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4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4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4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4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4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4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4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4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4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4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4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4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4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4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4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4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4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4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45683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45683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Pudge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11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11</v>
      </c>
      <c r="AJ3" s="27">
        <f t="array" ref="AJ3">SUM(('ТУР5'!home=AF3)*('ТУР5'!homescore&lt;'ТУР5'!visitorscore),('ТУР5'!visitor=AF3)*('ТУР5'!visitorscore&lt;'ТУР5'!homescore))</f>
        <v>6</v>
      </c>
      <c r="AK3" s="22">
        <f t="array" ref="AK3">SUMIF('ТУР5'!home,AF3,'ТУР5'!homescore)+SUMIF('ТУР5'!visitor,AF3,'ТУР5'!visitorscore)</f>
        <v>41</v>
      </c>
      <c r="AL3" s="27">
        <f t="array" ref="AL3">SUMIF('ТУР5'!home,AF3,'ТУР5'!visitorscore)+SUMIF('ТУР5'!visitor,AF3,'ТУР5'!homescore)</f>
        <v>36</v>
      </c>
      <c r="AM3" s="27">
        <f t="shared" ref="AM3:AM5" si="2">AK3-AL3</f>
        <v>5</v>
      </c>
      <c r="AN3" s="22">
        <f t="array" ref="AN3">AH3*Options!$B$2+AI3*Options!$B$3+AJ3*Options!$B$4+VLOOKUP(AF3,$E$4:$F$8,2,0)</f>
        <v>44</v>
      </c>
      <c r="AO3" s="28">
        <f t="shared" ref="AO3:AO5" si="3">AK3+AM3*10000+AN3*100000000</f>
        <v>4400050041</v>
      </c>
    </row>
    <row r="4">
      <c r="A4" s="12"/>
      <c r="B4" s="12"/>
      <c r="C4" s="70" t="s">
        <v>52</v>
      </c>
      <c r="D4" s="107" t="s">
        <v>25</v>
      </c>
      <c r="E4" s="31" t="s">
        <v>54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Mutabor102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9</v>
      </c>
      <c r="Y4" s="20">
        <f t="array" ref="Y4">VLOOKUP($U4,$AF$3:$AN$5,5,0)</f>
        <v>5</v>
      </c>
      <c r="Z4" s="20">
        <f t="array" ref="Z4">VLOOKUP($U4,$AF$3:$AN$5,6,0)</f>
        <v>46</v>
      </c>
      <c r="AA4" s="20">
        <f t="array" ref="AA4">VLOOKUP($U4,$AF$3:$AN$5,7,0)</f>
        <v>32</v>
      </c>
      <c r="AB4" s="20">
        <f t="array" ref="AB4">VLOOKUP($U4,$AF$3:$AN$5,8,0)</f>
        <v>14</v>
      </c>
      <c r="AC4" s="20">
        <f t="array" ref="AC4">VLOOKUP($U4,$AF$3:$AN$5,9,0)</f>
        <v>51</v>
      </c>
      <c r="AD4" s="28"/>
      <c r="AE4" s="12"/>
      <c r="AF4" s="26" t="str">
        <f t="shared" si="1"/>
        <v>AVTOMAT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12</v>
      </c>
      <c r="AJ4" s="27">
        <f t="array" ref="AJ4">SUM(('ТУР5'!home=AF4)*('ТУР5'!homescore&lt;'ТУР5'!visitorscore),('ТУР5'!visitor=AF4)*('ТУР5'!visitorscore&lt;'ТУР5'!homescore))</f>
        <v>15</v>
      </c>
      <c r="AK4" s="22">
        <f t="array" ref="AK4">SUMIF('ТУР5'!home,AF4,'ТУР5'!homescore)+SUMIF('ТУР5'!visitor,AF4,'ТУР5'!visitorscore)</f>
        <v>34</v>
      </c>
      <c r="AL4" s="27">
        <f t="array" ref="AL4">SUMIF('ТУР5'!home,AF4,'ТУР5'!visitorscore)+SUMIF('ТУР5'!visitor,AF4,'ТУР5'!homescore)</f>
        <v>53</v>
      </c>
      <c r="AM4" s="27">
        <f t="shared" si="2"/>
        <v>-19</v>
      </c>
      <c r="AN4" s="22">
        <f t="array" ref="AN4">AH4*Options!$B$2+AI4*Options!$B$3+AJ4*Options!$B$4+VLOOKUP(AF4,$E$4:$F$8,2,0)</f>
        <v>15</v>
      </c>
      <c r="AO4" s="28">
        <f t="shared" si="3"/>
        <v>1499810034</v>
      </c>
    </row>
    <row r="5">
      <c r="A5" s="12"/>
      <c r="B5" s="12"/>
      <c r="C5" s="70" t="s">
        <v>55</v>
      </c>
      <c r="D5" s="107" t="s">
        <v>28</v>
      </c>
      <c r="E5" s="31" t="s">
        <v>56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11</v>
      </c>
      <c r="Y5" s="20">
        <f t="array" ref="Y5">VLOOKUP($U5,$AF$3:$AN$5,5,0)</f>
        <v>6</v>
      </c>
      <c r="Z5" s="20">
        <f t="array" ref="Z5">VLOOKUP($U5,$AF$3:$AN$5,6,0)</f>
        <v>41</v>
      </c>
      <c r="AA5" s="20">
        <f t="array" ref="AA5">VLOOKUP($U5,$AF$3:$AN$5,7,0)</f>
        <v>36</v>
      </c>
      <c r="AB5" s="20">
        <f t="array" ref="AB5">VLOOKUP($U5,$AF$3:$AN$5,8,0)</f>
        <v>5</v>
      </c>
      <c r="AC5" s="20">
        <f t="array" ref="AC5">VLOOKUP($U5,$AF$3:$AN$5,9,0)</f>
        <v>44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14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9</v>
      </c>
      <c r="AJ5" s="27">
        <f t="array" ref="AJ5">SUM(('ТУР5'!home=AF5)*('ТУР5'!homescore&lt;'ТУР5'!visitorscore),('ТУР5'!visitor=AF5)*('ТУР5'!visitorscore&lt;'ТУР5'!homescore))</f>
        <v>5</v>
      </c>
      <c r="AK5" s="22">
        <f t="array" ref="AK5">SUMIF('ТУР5'!home,AF5,'ТУР5'!homescore)+SUMIF('ТУР5'!visitor,AF5,'ТУР5'!visitorscore)</f>
        <v>46</v>
      </c>
      <c r="AL5" s="27">
        <f t="array" ref="AL5">SUMIF('ТУР5'!home,AF5,'ТУР5'!visitorscore)+SUMIF('ТУР5'!visitor,AF5,'ТУР5'!homescore)</f>
        <v>32</v>
      </c>
      <c r="AM5" s="27">
        <f t="shared" si="2"/>
        <v>14</v>
      </c>
      <c r="AN5" s="22">
        <f t="array" ref="AN5">AH5*Options!$B$2+AI5*Options!$B$3+AJ5*Options!$B$4+VLOOKUP(AF5,$E$4:$F$8,2,0)</f>
        <v>51</v>
      </c>
      <c r="AO5" s="28">
        <f t="shared" si="3"/>
        <v>5100140046</v>
      </c>
    </row>
    <row r="6">
      <c r="A6" s="12"/>
      <c r="B6" s="12"/>
      <c r="C6" s="29" t="s">
        <v>57</v>
      </c>
      <c r="D6" s="107" t="s">
        <v>31</v>
      </c>
      <c r="E6" s="34" t="s">
        <v>58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1</v>
      </c>
      <c r="X6" s="20">
        <f t="array" ref="X6">VLOOKUP($U6,$AF$3:$AN$5,4,0)</f>
        <v>12</v>
      </c>
      <c r="Y6" s="20">
        <f t="array" ref="Y6">VLOOKUP($U6,$AF$3:$AN$5,5,0)</f>
        <v>15</v>
      </c>
      <c r="Z6" s="20">
        <f t="array" ref="Z6">VLOOKUP($U6,$AF$3:$AN$5,6,0)</f>
        <v>34</v>
      </c>
      <c r="AA6" s="20">
        <f t="array" ref="AA6">VLOOKUP($U6,$AF$3:$AN$5,7,0)</f>
        <v>53</v>
      </c>
      <c r="AB6" s="20">
        <f t="array" ref="AB6">VLOOKUP($U6,$AF$3:$AN$5,8,0)</f>
        <v>-19</v>
      </c>
      <c r="AC6" s="20">
        <f t="array" ref="AC6">VLOOKUP($U6,$AF$3:$AN$5,9,0)</f>
        <v>15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Pudge</v>
      </c>
      <c r="F12" s="47" t="str">
        <f t="shared" ref="F12:F17" si="7">$E$5</f>
        <v>AVTOMAT</v>
      </c>
      <c r="G12" s="40">
        <f t="shared" ref="G12:G53" si="8">SUM(K12)</f>
        <v>3</v>
      </c>
      <c r="H12" s="19"/>
      <c r="I12" s="40">
        <f t="shared" ref="I12:I18" si="9">SUM(L12)</f>
        <v>2</v>
      </c>
      <c r="J12" s="19"/>
      <c r="K12" s="47">
        <v>3.0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Pudge  - (США) AVTOMAT</v>
      </c>
      <c r="V12" s="12" t="str">
        <f t="shared" ref="V12:V53" si="11">TEXT(G12,"0")&amp;":"&amp;TEXT(I12,"0")</f>
        <v>3:2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Pudge</v>
      </c>
      <c r="F13" s="47" t="str">
        <f t="shared" si="7"/>
        <v>AVTOMAT</v>
      </c>
      <c r="G13" s="40">
        <f t="shared" si="8"/>
        <v>1</v>
      </c>
      <c r="H13" s="19"/>
      <c r="I13" s="40">
        <f t="shared" si="9"/>
        <v>0</v>
      </c>
      <c r="J13" s="19"/>
      <c r="K13" s="47">
        <v>1.0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Pudge  - (США) AVTOMAT</v>
      </c>
      <c r="V13" s="12" t="str">
        <f t="shared" si="11"/>
        <v>1:0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Pudge</v>
      </c>
      <c r="F14" s="47" t="str">
        <f t="shared" si="7"/>
        <v>AVTOMAT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Pudge  - (США) AVTOMAT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Mutabor102</v>
      </c>
      <c r="F15" s="47" t="str">
        <f t="shared" si="7"/>
        <v>AVTOMAT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Mutabor102  - (США) AVTOMAT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Mutabor102</v>
      </c>
      <c r="F16" s="47" t="str">
        <f t="shared" si="7"/>
        <v>AVTOMAT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Mutabor102  - (США) AVTOMAT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Mutabor102</v>
      </c>
      <c r="F17" s="47" t="str">
        <f t="shared" si="7"/>
        <v>AVTOMAT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Mutabor102  - (США) AVTOMAT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Mutabor102</v>
      </c>
      <c r="F18" s="47" t="str">
        <f t="shared" ref="F18:F23" si="15">$E$4</f>
        <v>Pudge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Mutabor102  - (Канада) Pudge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Mutabor102</v>
      </c>
      <c r="F19" s="47" t="str">
        <f t="shared" si="15"/>
        <v>Pudge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Mutabor102  - (Канада) Pudge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Mutabor102</v>
      </c>
      <c r="F20" s="47" t="str">
        <f t="shared" si="15"/>
        <v>Pudge</v>
      </c>
      <c r="G20" s="40">
        <f t="shared" si="8"/>
        <v>0</v>
      </c>
      <c r="H20" s="19"/>
      <c r="I20" s="40">
        <f t="shared" si="16"/>
        <v>1</v>
      </c>
      <c r="J20" s="19"/>
      <c r="K20" s="47">
        <v>0.0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Mutabor102  - (Канада) Pudge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AVTOMAT</v>
      </c>
      <c r="F21" s="47" t="str">
        <f t="shared" si="15"/>
        <v>Pudge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AVTOMAT  - (Канада) Pudge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AVTOMAT</v>
      </c>
      <c r="F22" s="47" t="str">
        <f t="shared" si="15"/>
        <v>Pudge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AVTOMAT  - (Канада) Pudge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AVTOMAT</v>
      </c>
      <c r="F23" s="47" t="str">
        <f t="shared" si="15"/>
        <v>Pudge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AVTOMAT  - (Канада) Pudge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AVTOMAT</v>
      </c>
      <c r="F24" s="51" t="str">
        <f t="shared" ref="F24:F29" si="20">$E$6</f>
        <v>Mutabor102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AVTOMAT  - (Швеция) Mutabor102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AVTOMAT</v>
      </c>
      <c r="F25" s="51" t="str">
        <f t="shared" si="20"/>
        <v>Mutabor102</v>
      </c>
      <c r="G25" s="40">
        <f t="shared" si="8"/>
        <v>0</v>
      </c>
      <c r="H25" s="19"/>
      <c r="I25" s="40">
        <f t="shared" si="21"/>
        <v>1</v>
      </c>
      <c r="J25" s="19"/>
      <c r="K25" s="72">
        <v>0.0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AVTOMAT  - (Швеция) Mutabor102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AVTOMAT</v>
      </c>
      <c r="F26" s="51" t="str">
        <f t="shared" si="20"/>
        <v>Mutabor102</v>
      </c>
      <c r="G26" s="73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AVTOMAT  - (Швеция) Mutabor102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Pudge</v>
      </c>
      <c r="F27" s="51" t="str">
        <f t="shared" si="20"/>
        <v>Mutabor102</v>
      </c>
      <c r="G27" s="40">
        <f t="shared" si="8"/>
        <v>1</v>
      </c>
      <c r="H27" s="19"/>
      <c r="I27" s="40">
        <f t="shared" si="21"/>
        <v>0</v>
      </c>
      <c r="J27" s="19"/>
      <c r="K27" s="47">
        <v>1.0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Pudge  - (Швеция) Mutabor102</v>
      </c>
      <c r="V27" s="12" t="str">
        <f t="shared" si="11"/>
        <v>1:0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Pudge</v>
      </c>
      <c r="F28" s="51" t="str">
        <f t="shared" si="20"/>
        <v>Mutabor102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Pudge  - (Швеция) Mutabor102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Pudge</v>
      </c>
      <c r="F29" s="51" t="str">
        <f t="shared" si="20"/>
        <v>Mutabor102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Pudge  - (Швеция) Mutabor102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Pudge</v>
      </c>
      <c r="F30" s="47" t="str">
        <f t="shared" ref="F30:F35" si="25">$E$5</f>
        <v>AVTOMAT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Pudge  - (США) AVTOMAT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Pudge</v>
      </c>
      <c r="F31" s="47" t="str">
        <f t="shared" si="25"/>
        <v>AVTOMAT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Pudge  - (США) AVTOMAT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Pudge</v>
      </c>
      <c r="F32" s="47" t="str">
        <f t="shared" si="25"/>
        <v>AVTOMAT</v>
      </c>
      <c r="G32" s="40">
        <f t="shared" si="8"/>
        <v>3</v>
      </c>
      <c r="H32" s="19"/>
      <c r="I32" s="40">
        <f t="shared" si="26"/>
        <v>3</v>
      </c>
      <c r="J32" s="19"/>
      <c r="K32" s="47">
        <v>3.0</v>
      </c>
      <c r="L32" s="47">
        <v>3.0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Pudge  - (США) AVTOMAT</v>
      </c>
      <c r="V32" s="12" t="str">
        <f t="shared" si="11"/>
        <v>3:3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Mutabor102</v>
      </c>
      <c r="F33" s="47" t="str">
        <f t="shared" si="25"/>
        <v>AVTOMAT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Mutabor102  - (США) AVTOMAT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Mutabor102</v>
      </c>
      <c r="F34" s="47" t="str">
        <f t="shared" si="25"/>
        <v>AVTOMAT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Mutabor102  - (США) AVTOMAT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Mutabor102</v>
      </c>
      <c r="F35" s="47" t="str">
        <f t="shared" si="25"/>
        <v>AVTOMAT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Mutabor102  - (США) AVTOMAT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Mutabor102</v>
      </c>
      <c r="F36" s="47" t="str">
        <f t="shared" ref="F36:F41" si="30">$E$4</f>
        <v>Pudge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Mutabor102  - (Канада) Pudge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Mutabor102</v>
      </c>
      <c r="F37" s="47" t="str">
        <f t="shared" si="30"/>
        <v>Pudge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Mutabor102  - (Канада) Pudge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Mutabor102</v>
      </c>
      <c r="F38" s="47" t="str">
        <f t="shared" si="30"/>
        <v>Pudge</v>
      </c>
      <c r="G38" s="40">
        <f t="shared" si="8"/>
        <v>3</v>
      </c>
      <c r="H38" s="19"/>
      <c r="I38" s="40">
        <f t="shared" si="31"/>
        <v>1</v>
      </c>
      <c r="J38" s="19"/>
      <c r="K38" s="47">
        <v>3.0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Mutabor102  - (Канада) Pudge</v>
      </c>
      <c r="V38" s="12" t="str">
        <f t="shared" si="11"/>
        <v>3:1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AVTOMAT</v>
      </c>
      <c r="F39" s="47" t="str">
        <f t="shared" si="30"/>
        <v>Pudge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AVTOMAT  - (Канада) Pudge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AVTOMAT</v>
      </c>
      <c r="F40" s="47" t="str">
        <f t="shared" si="30"/>
        <v>Pudge</v>
      </c>
      <c r="G40" s="40">
        <f t="shared" si="8"/>
        <v>0</v>
      </c>
      <c r="H40" s="19"/>
      <c r="I40" s="40">
        <f t="shared" si="31"/>
        <v>1</v>
      </c>
      <c r="J40" s="19"/>
      <c r="K40" s="47">
        <v>0.0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AVTOMAT  - (Канада) Pudge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AVTOMAT</v>
      </c>
      <c r="F41" s="47" t="str">
        <f t="shared" si="30"/>
        <v>Pudge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AVTOMAT  - (Канада) Pudge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AVTOMAT</v>
      </c>
      <c r="F42" s="47" t="str">
        <f t="shared" ref="F42:F47" si="35">$E$6</f>
        <v>Mutabor102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AVTOMAT  - (Швеция) Mutabor102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AVTOMAT</v>
      </c>
      <c r="F43" s="47" t="str">
        <f t="shared" si="35"/>
        <v>Mutabor102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AVTOMAT  - (Швеция) Mutabor102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AVTOMAT</v>
      </c>
      <c r="F44" s="47" t="str">
        <f t="shared" si="35"/>
        <v>Mutabor102</v>
      </c>
      <c r="G44" s="40">
        <f t="shared" si="8"/>
        <v>2</v>
      </c>
      <c r="H44" s="19"/>
      <c r="I44" s="40">
        <f t="shared" si="36"/>
        <v>3</v>
      </c>
      <c r="J44" s="19"/>
      <c r="K44" s="47">
        <v>2.0</v>
      </c>
      <c r="L44" s="47">
        <v>3.0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AVTOMAT  - (Швеция) Mutabor102</v>
      </c>
      <c r="V44" s="12" t="str">
        <f t="shared" si="11"/>
        <v>2:3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Pudge</v>
      </c>
      <c r="F45" s="47" t="str">
        <f t="shared" si="35"/>
        <v>Mutabor102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Pudge  - (Швеция) Mutabor102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Pudge</v>
      </c>
      <c r="F46" s="47" t="str">
        <f t="shared" si="35"/>
        <v>Mutabor102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Pudge  - (Швеция) Mutabor102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Pudge</v>
      </c>
      <c r="F47" s="47" t="str">
        <f t="shared" si="35"/>
        <v>Mutabor102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Pudge  - (Швеция) Mutabor102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Pudge</v>
      </c>
      <c r="F48" s="47" t="str">
        <f t="shared" ref="F48:F51" si="40">$E$5</f>
        <v>AVTOMAT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Pudge  - (США) AVTOMAT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Pudge</v>
      </c>
      <c r="F49" s="47" t="str">
        <f t="shared" si="40"/>
        <v>AVTOMAT</v>
      </c>
      <c r="G49" s="40">
        <f t="shared" si="8"/>
        <v>2</v>
      </c>
      <c r="H49" s="19"/>
      <c r="I49" s="40">
        <f t="shared" ref="I49:I53" si="41">SUM(L49,O49)</f>
        <v>1</v>
      </c>
      <c r="J49" s="19"/>
      <c r="K49" s="47">
        <v>2.0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Pudge  - (США) AVTOMAT</v>
      </c>
      <c r="V49" s="12" t="str">
        <f t="shared" si="11"/>
        <v>2:1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Mutabor102</v>
      </c>
      <c r="F50" s="47" t="str">
        <f t="shared" si="40"/>
        <v>AVTOMAT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Mutabor102  - (США) AVTOMAT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Mutabor102</v>
      </c>
      <c r="F51" s="47" t="str">
        <f t="shared" si="40"/>
        <v>AVTOMAT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Mutabor102  - (США) AVTOMAT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Mutabor102</v>
      </c>
      <c r="F52" s="47" t="str">
        <f t="shared" ref="F52:F53" si="45">$E$4</f>
        <v>Pudge</v>
      </c>
      <c r="G52" s="40">
        <f t="shared" si="8"/>
        <v>0</v>
      </c>
      <c r="H52" s="19"/>
      <c r="I52" s="40">
        <f t="shared" si="41"/>
        <v>0</v>
      </c>
      <c r="J52" s="19"/>
      <c r="K52" s="47">
        <v>0.0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Mutabor102  - (Канада) Pudge</v>
      </c>
      <c r="V52" s="12" t="str">
        <f t="shared" si="11"/>
        <v>0:0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Mutabor102</v>
      </c>
      <c r="F53" s="47" t="str">
        <f t="shared" si="45"/>
        <v>Pudge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Mutabor102  - (Канада) Pudge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45683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45683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12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7</v>
      </c>
      <c r="AJ3" s="27">
        <f t="array" ref="AJ3">SUM(('ТУР6'!home=AF3)*('ТУР6'!homescore&lt;'ТУР6'!visitorscore),('ТУР6'!visitor=AF3)*('ТУР6'!visitorscore&lt;'ТУР6'!homescore))</f>
        <v>9</v>
      </c>
      <c r="AK3" s="22">
        <f t="array" ref="AK3">SUMIF('ТУР6'!home,AF3,'ТУР6'!homescore)+SUMIF('ТУР6'!visitor,AF3,'ТУР6'!visitorscore)</f>
        <v>41</v>
      </c>
      <c r="AL3" s="27">
        <f t="array" ref="AL3">SUMIF('ТУР6'!home,AF3,'ТУР6'!visitorscore)+SUMIF('ТУР6'!visitor,AF3,'ТУР6'!homescore)</f>
        <v>39</v>
      </c>
      <c r="AM3" s="27">
        <f t="shared" ref="AM3:AM5" si="2">AK3-AL3</f>
        <v>2</v>
      </c>
      <c r="AN3" s="22">
        <f t="array" ref="AN3">AH3*Options!$B$2+AI3*Options!$B$3+AJ3*Options!$B$4+VLOOKUP(AF3,$E$4:$F$8,2,0)</f>
        <v>43</v>
      </c>
      <c r="AO3" s="28">
        <f t="shared" ref="AO3:AO5" si="3">AK3+AM3*10000+AN3*100000000</f>
        <v>4300020041</v>
      </c>
    </row>
    <row r="4">
      <c r="A4" s="12"/>
      <c r="B4" s="12"/>
      <c r="C4" s="129" t="s">
        <v>62</v>
      </c>
      <c r="D4" s="107" t="s">
        <v>46</v>
      </c>
      <c r="E4" s="130" t="s">
        <v>63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10</v>
      </c>
      <c r="Y4" s="20">
        <f t="array" ref="Y4">VLOOKUP($U4,$AF$3:$AN$5,5,0)</f>
        <v>7</v>
      </c>
      <c r="Z4" s="20">
        <f t="array" ref="Z4">VLOOKUP($U4,$AF$3:$AN$5,6,0)</f>
        <v>47</v>
      </c>
      <c r="AA4" s="20">
        <f t="array" ref="AA4">VLOOKUP($U4,$AF$3:$AN$5,7,0)</f>
        <v>39</v>
      </c>
      <c r="AB4" s="20">
        <f t="array" ref="AB4">VLOOKUP($U4,$AF$3:$AN$5,8,0)</f>
        <v>8</v>
      </c>
      <c r="AC4" s="20">
        <f t="array" ref="AC4">VLOOKUP($U4,$AF$3:$AN$5,9,0)</f>
        <v>43</v>
      </c>
      <c r="AD4" s="28"/>
      <c r="AE4" s="12"/>
      <c r="AF4" s="26" t="str">
        <f t="shared" si="1"/>
        <v>rio2k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11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10</v>
      </c>
      <c r="AJ4" s="27">
        <f t="array" ref="AJ4">SUM(('ТУР6'!home=AF4)*('ТУР6'!homescore&lt;'ТУР6'!visitorscore),('ТУР6'!visitor=AF4)*('ТУР6'!visitorscore&lt;'ТУР6'!homescore))</f>
        <v>7</v>
      </c>
      <c r="AK4" s="22">
        <f t="array" ref="AK4">SUMIF('ТУР6'!home,AF4,'ТУР6'!homescore)+SUMIF('ТУР6'!visitor,AF4,'ТУР6'!visitorscore)</f>
        <v>47</v>
      </c>
      <c r="AL4" s="27">
        <f t="array" ref="AL4">SUMIF('ТУР6'!home,AF4,'ТУР6'!visitorscore)+SUMIF('ТУР6'!visitor,AF4,'ТУР6'!homescore)</f>
        <v>39</v>
      </c>
      <c r="AM4" s="27">
        <f t="shared" si="2"/>
        <v>8</v>
      </c>
      <c r="AN4" s="22">
        <f t="array" ref="AN4">AH4*Options!$B$2+AI4*Options!$B$3+AJ4*Options!$B$4+VLOOKUP(AF4,$E$4:$F$8,2,0)</f>
        <v>43</v>
      </c>
      <c r="AO4" s="28">
        <f t="shared" si="3"/>
        <v>4300080047</v>
      </c>
    </row>
    <row r="5">
      <c r="A5" s="12"/>
      <c r="B5" s="12"/>
      <c r="C5" s="29" t="s">
        <v>64</v>
      </c>
      <c r="D5" s="107" t="s">
        <v>47</v>
      </c>
      <c r="E5" s="131" t="s">
        <v>65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>
        <v>1.0</v>
      </c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7</v>
      </c>
      <c r="Y5" s="20">
        <f t="array" ref="Y5">VLOOKUP($U5,$AF$3:$AN$5,5,0)</f>
        <v>9</v>
      </c>
      <c r="Z5" s="20">
        <f t="array" ref="Z5">VLOOKUP($U5,$AF$3:$AN$5,6,0)</f>
        <v>41</v>
      </c>
      <c r="AA5" s="20">
        <f t="array" ref="AA5">VLOOKUP($U5,$AF$3:$AN$5,7,0)</f>
        <v>39</v>
      </c>
      <c r="AB5" s="20">
        <f t="array" ref="AB5">VLOOKUP($U5,$AF$3:$AN$5,8,0)</f>
        <v>2</v>
      </c>
      <c r="AC5" s="20">
        <f t="array" ref="AC5">VLOOKUP($U5,$AF$3:$AN$5,9,0)</f>
        <v>43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6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9</v>
      </c>
      <c r="AJ5" s="27">
        <f t="array" ref="AJ5">SUM(('ТУР6'!home=AF5)*('ТУР6'!homescore&lt;'ТУР6'!visitorscore),('ТУР6'!visitor=AF5)*('ТУР6'!visitorscore&lt;'ТУР6'!homescore))</f>
        <v>13</v>
      </c>
      <c r="AK5" s="22">
        <f t="array" ref="AK5">SUMIF('ТУР6'!home,AF5,'ТУР6'!homescore)+SUMIF('ТУР6'!visitor,AF5,'ТУР6'!visitorscore)</f>
        <v>37</v>
      </c>
      <c r="AL5" s="27">
        <f t="array" ref="AL5">SUMIF('ТУР6'!home,AF5,'ТУР6'!visitorscore)+SUMIF('ТУР6'!visitor,AF5,'ТУР6'!homescore)</f>
        <v>47</v>
      </c>
      <c r="AM5" s="27">
        <f t="shared" si="2"/>
        <v>-10</v>
      </c>
      <c r="AN5" s="22">
        <f t="array" ref="AN5">AH5*Options!$B$2+AI5*Options!$B$3+AJ5*Options!$B$4+VLOOKUP(AF5,$E$4:$F$8,2,0)</f>
        <v>27</v>
      </c>
      <c r="AO5" s="28">
        <f t="shared" si="3"/>
        <v>2699900037</v>
      </c>
    </row>
    <row r="6">
      <c r="A6" s="12"/>
      <c r="B6" s="12"/>
      <c r="C6" s="132" t="s">
        <v>66</v>
      </c>
      <c r="D6" s="107" t="s">
        <v>48</v>
      </c>
      <c r="E6" s="31" t="s">
        <v>67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Deqim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9</v>
      </c>
      <c r="Y6" s="20">
        <f t="array" ref="Y6">VLOOKUP($U6,$AF$3:$AN$5,5,0)</f>
        <v>13</v>
      </c>
      <c r="Z6" s="20">
        <f t="array" ref="Z6">VLOOKUP($U6,$AF$3:$AN$5,6,0)</f>
        <v>37</v>
      </c>
      <c r="AA6" s="20">
        <f t="array" ref="AA6">VLOOKUP($U6,$AF$3:$AN$5,7,0)</f>
        <v>47</v>
      </c>
      <c r="AB6" s="20">
        <f t="array" ref="AB6">VLOOKUP($U6,$AF$3:$AN$5,8,0)</f>
        <v>-10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MBK</v>
      </c>
      <c r="F12" s="47" t="str">
        <f t="shared" ref="F12:F17" si="7">$E$5</f>
        <v>rio2k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MBK  - (Чехия) rio2k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MBK</v>
      </c>
      <c r="F13" s="47" t="str">
        <f t="shared" si="7"/>
        <v>rio2k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MBK  - (Чехия) rio2k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MBK</v>
      </c>
      <c r="F14" s="47" t="str">
        <f t="shared" si="7"/>
        <v>rio2k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MBK  - (Чехия) rio2k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Deqim</v>
      </c>
      <c r="F15" s="47" t="str">
        <f t="shared" si="7"/>
        <v>rio2k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Deqim  - (Чехия) rio2k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Deqim</v>
      </c>
      <c r="F16" s="47" t="str">
        <f t="shared" si="7"/>
        <v>rio2k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Deqim  - (Чехия) rio2k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Deqim</v>
      </c>
      <c r="F17" s="47" t="str">
        <f t="shared" si="7"/>
        <v>rio2k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Deqim  - (Чехия) rio2k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Deqim</v>
      </c>
      <c r="F18" s="47" t="str">
        <f t="shared" ref="F18:F23" si="15">$E$4</f>
        <v>MBK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Deqim  - (Финляндия) MBK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Deqim</v>
      </c>
      <c r="F19" s="47" t="str">
        <f t="shared" si="15"/>
        <v>MBK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Deqim  - (Финляндия) MBK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Deqim</v>
      </c>
      <c r="F20" s="47" t="str">
        <f t="shared" si="15"/>
        <v>MBK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Deqim  - (Финляндия) MBK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rio2k</v>
      </c>
      <c r="F21" s="47" t="str">
        <f t="shared" si="15"/>
        <v>MBK</v>
      </c>
      <c r="G21" s="40">
        <f t="shared" si="8"/>
        <v>3</v>
      </c>
      <c r="H21" s="19"/>
      <c r="I21" s="40">
        <f t="shared" si="16"/>
        <v>3</v>
      </c>
      <c r="J21" s="19"/>
      <c r="K21" s="47">
        <v>3.0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rio2k  - (Финляндия) MBK</v>
      </c>
      <c r="V21" s="12" t="str">
        <f t="shared" si="11"/>
        <v>3:3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rio2k</v>
      </c>
      <c r="F22" s="47" t="str">
        <f t="shared" si="15"/>
        <v>MBK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rio2k  - (Финляндия) MBK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rio2k</v>
      </c>
      <c r="F23" s="47" t="str">
        <f t="shared" si="15"/>
        <v>MBK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rio2k  - (Финляндия) MBK</v>
      </c>
      <c r="V23" s="12" t="str">
        <f t="shared" si="11"/>
        <v>3:1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rio2k</v>
      </c>
      <c r="F24" s="51" t="str">
        <f t="shared" ref="F24:F29" si="20">$E$6</f>
        <v>Deqim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rio2k  - (Германия) Deqim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rio2k</v>
      </c>
      <c r="F25" s="51" t="str">
        <f t="shared" si="20"/>
        <v>Deqim</v>
      </c>
      <c r="G25" s="40">
        <f t="shared" si="8"/>
        <v>2</v>
      </c>
      <c r="H25" s="19"/>
      <c r="I25" s="40">
        <f t="shared" si="21"/>
        <v>2</v>
      </c>
      <c r="J25" s="19"/>
      <c r="K25" s="72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rio2k  - (Германия) Deqim</v>
      </c>
      <c r="V25" s="12" t="str">
        <f t="shared" si="11"/>
        <v>2:2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rio2k</v>
      </c>
      <c r="F26" s="51" t="str">
        <f t="shared" si="20"/>
        <v>Deqim</v>
      </c>
      <c r="G26" s="73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rio2k  - (Германия) Deqim</v>
      </c>
      <c r="V26" s="12" t="str">
        <f t="shared" si="11"/>
        <v>1:1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MBK</v>
      </c>
      <c r="F27" s="51" t="str">
        <f t="shared" si="20"/>
        <v>Deqim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MBK  - (Германия) Deqim</v>
      </c>
      <c r="V27" s="12" t="str">
        <f t="shared" si="11"/>
        <v>2:2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MBK</v>
      </c>
      <c r="F28" s="51" t="str">
        <f t="shared" si="20"/>
        <v>Deqim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MBK  - (Германия) Deqim</v>
      </c>
      <c r="V28" s="12" t="str">
        <f t="shared" si="11"/>
        <v>1:2</v>
      </c>
      <c r="W28" s="12"/>
      <c r="X28" s="12"/>
      <c r="Y28" s="12"/>
      <c r="Z28" s="12"/>
      <c r="AA28" s="74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MBK</v>
      </c>
      <c r="F29" s="51" t="str">
        <f t="shared" si="20"/>
        <v>Deqim</v>
      </c>
      <c r="G29" s="40">
        <f t="shared" si="8"/>
        <v>0</v>
      </c>
      <c r="H29" s="19"/>
      <c r="I29" s="40">
        <f t="shared" si="21"/>
        <v>1</v>
      </c>
      <c r="J29" s="19"/>
      <c r="K29" s="47">
        <v>0.0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MBK  - (Германия) Deqim</v>
      </c>
      <c r="V29" s="12" t="str">
        <f t="shared" si="11"/>
        <v>0:1</v>
      </c>
      <c r="W29" s="12"/>
      <c r="X29" s="12"/>
      <c r="Y29" s="12"/>
      <c r="Z29" s="12"/>
      <c r="AA29" s="74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MBK</v>
      </c>
      <c r="F30" s="47" t="str">
        <f t="shared" ref="F30:F35" si="25">$E$5</f>
        <v>rio2k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MBK  - (Чехия) rio2k</v>
      </c>
      <c r="V30" s="12" t="str">
        <f t="shared" si="11"/>
        <v>2:1</v>
      </c>
      <c r="W30" s="12"/>
      <c r="X30" s="12"/>
      <c r="Y30" s="12"/>
      <c r="Z30" s="12"/>
      <c r="AA30" s="74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MBK</v>
      </c>
      <c r="F31" s="47" t="str">
        <f t="shared" si="25"/>
        <v>rio2k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MBK  - (Чехия) rio2k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MBK</v>
      </c>
      <c r="F32" s="47" t="str">
        <f t="shared" si="25"/>
        <v>rio2k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MBK  - (Чехия) rio2k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Deqim</v>
      </c>
      <c r="F33" s="47" t="str">
        <f t="shared" si="25"/>
        <v>rio2k</v>
      </c>
      <c r="G33" s="40">
        <f t="shared" si="8"/>
        <v>3</v>
      </c>
      <c r="H33" s="19"/>
      <c r="I33" s="40">
        <f t="shared" si="26"/>
        <v>2</v>
      </c>
      <c r="J33" s="19"/>
      <c r="K33" s="47">
        <v>3.0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Deqim  - (Чехия) rio2k</v>
      </c>
      <c r="V33" s="12" t="str">
        <f t="shared" si="11"/>
        <v>3:2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Deqim</v>
      </c>
      <c r="F34" s="47" t="str">
        <f t="shared" si="25"/>
        <v>rio2k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Deqim  - (Чехия) rio2k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Deqim</v>
      </c>
      <c r="F35" s="47" t="str">
        <f t="shared" si="25"/>
        <v>rio2k</v>
      </c>
      <c r="G35" s="40">
        <f t="shared" si="8"/>
        <v>0</v>
      </c>
      <c r="H35" s="19"/>
      <c r="I35" s="40">
        <f t="shared" si="26"/>
        <v>0</v>
      </c>
      <c r="J35" s="19"/>
      <c r="K35" s="47" t="s">
        <v>68</v>
      </c>
      <c r="L35" s="47" t="s">
        <v>68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Deqim  - (Чехия) rio2k</v>
      </c>
      <c r="V35" s="12" t="str">
        <f t="shared" si="11"/>
        <v>0:0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Deqim</v>
      </c>
      <c r="F36" s="47" t="str">
        <f t="shared" ref="F36:F41" si="30">$E$4</f>
        <v>MBK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Deqim  - (Финляндия) MBK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Deqim</v>
      </c>
      <c r="F37" s="47" t="str">
        <f t="shared" si="30"/>
        <v>MBK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Deqim  - (Финляндия) MBK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Deqim</v>
      </c>
      <c r="F38" s="47" t="str">
        <f t="shared" si="30"/>
        <v>MBK</v>
      </c>
      <c r="G38" s="40">
        <f t="shared" si="8"/>
        <v>0</v>
      </c>
      <c r="H38" s="19"/>
      <c r="I38" s="40">
        <f t="shared" si="31"/>
        <v>2</v>
      </c>
      <c r="J38" s="19"/>
      <c r="K38" s="47">
        <v>0.0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Deqim  - (Финляндия) MBK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rio2k</v>
      </c>
      <c r="F39" s="47" t="str">
        <f t="shared" si="30"/>
        <v>MBK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rio2k  - (Финляндия) MBK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rio2k</v>
      </c>
      <c r="F40" s="47" t="str">
        <f t="shared" si="30"/>
        <v>MBK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rio2k  - (Финляндия) MBK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rio2k</v>
      </c>
      <c r="F41" s="47" t="str">
        <f t="shared" si="30"/>
        <v>MBK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rio2k  - (Финляндия) MBK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rio2k</v>
      </c>
      <c r="F42" s="47" t="str">
        <f t="shared" ref="F42:F47" si="35">$E$6</f>
        <v>Deqim</v>
      </c>
      <c r="G42" s="40">
        <f t="shared" si="8"/>
        <v>2</v>
      </c>
      <c r="H42" s="19"/>
      <c r="I42" s="40">
        <f t="shared" si="31"/>
        <v>3</v>
      </c>
      <c r="J42" s="19"/>
      <c r="K42" s="47">
        <v>2.0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rio2k  - (Германия) Deqim</v>
      </c>
      <c r="V42" s="12" t="str">
        <f t="shared" si="11"/>
        <v>2:3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rio2k</v>
      </c>
      <c r="F43" s="47" t="str">
        <f t="shared" si="35"/>
        <v>Deqim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rio2k  - (Германия) Deqim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rio2k</v>
      </c>
      <c r="F44" s="47" t="str">
        <f t="shared" si="35"/>
        <v>Deqim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rio2k  - (Германия) Deqim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MBK</v>
      </c>
      <c r="F45" s="47" t="str">
        <f t="shared" si="35"/>
        <v>Deqim</v>
      </c>
      <c r="G45" s="40">
        <f t="shared" si="8"/>
        <v>3</v>
      </c>
      <c r="H45" s="19"/>
      <c r="I45" s="40">
        <f t="shared" si="36"/>
        <v>1</v>
      </c>
      <c r="J45" s="19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MBK  - (Германия) Deqim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MBK</v>
      </c>
      <c r="F46" s="47" t="str">
        <f t="shared" si="35"/>
        <v>Deqim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MBK  - (Германия) Deqim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MBK</v>
      </c>
      <c r="F47" s="47" t="str">
        <f t="shared" si="35"/>
        <v>Deqim</v>
      </c>
      <c r="G47" s="40">
        <f t="shared" si="8"/>
        <v>1</v>
      </c>
      <c r="H47" s="19"/>
      <c r="I47" s="40">
        <f t="shared" si="36"/>
        <v>0</v>
      </c>
      <c r="J47" s="19"/>
      <c r="K47" s="47">
        <v>1.0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MBK  - (Германия) Deqim</v>
      </c>
      <c r="V47" s="12" t="str">
        <f t="shared" si="11"/>
        <v>1:0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MBK</v>
      </c>
      <c r="F48" s="47" t="str">
        <f t="shared" ref="F48:F51" si="40">$E$5</f>
        <v>rio2k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MBK  - (Чехия) rio2k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MBK</v>
      </c>
      <c r="F49" s="47" t="str">
        <f t="shared" si="40"/>
        <v>rio2k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MBK  - (Чехия) rio2k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Deqim</v>
      </c>
      <c r="F50" s="47" t="str">
        <f t="shared" si="40"/>
        <v>rio2k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Deqim  - (Чехия) rio2k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Deqim</v>
      </c>
      <c r="F51" s="47" t="str">
        <f t="shared" si="40"/>
        <v>rio2k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Deqim  - (Чехия) rio2k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Deqim</v>
      </c>
      <c r="F52" s="47" t="str">
        <f t="shared" ref="F52:F53" si="45">$E$4</f>
        <v>MBK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Deqim  - (Финляндия) MBK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Deqim</v>
      </c>
      <c r="F53" s="47" t="str">
        <f t="shared" si="45"/>
        <v>MBK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Deqim  - (Финляндия) MBK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69</v>
      </c>
      <c r="F1" s="6">
        <f>'ТУР1'!$F$1</f>
        <v>45683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45683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9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6</v>
      </c>
      <c r="AJ3" s="27">
        <f t="array" ref="AJ3">SUM(('ТУР7'!home=AF3)*('ТУР7'!homescore&lt;'ТУР7'!visitorscore),('ТУР7'!visitor=AF3)*('ТУР7'!visitorscore&lt;'ТУР7'!homescore))</f>
        <v>13</v>
      </c>
      <c r="AK3" s="22">
        <f t="array" ref="AK3">SUMIF('ТУР7'!home,AF3,'ТУР7'!homescore)+SUMIF('ТУР7'!visitor,AF3,'ТУР7'!visitorscore)</f>
        <v>33</v>
      </c>
      <c r="AL3" s="27">
        <f t="array" ref="AL3">SUMIF('ТУР7'!home,AF3,'ТУР7'!visitorscore)+SUMIF('ТУР7'!visitor,AF3,'ТУР7'!homescore)</f>
        <v>40</v>
      </c>
      <c r="AM3" s="27">
        <f t="shared" ref="AM3:AM5" si="2">AK3-AL3</f>
        <v>-7</v>
      </c>
      <c r="AN3" s="22">
        <f t="array" ref="AN3">AH3*Options!$B$2+AI3*Options!$B$3+AJ3*Options!$B$4+VLOOKUP(AF3,$E$4:$F$8,2,0)</f>
        <v>33</v>
      </c>
      <c r="AO3" s="28">
        <f t="shared" ref="AO3:AO5" si="3">AK3+AM3*10000+AN3*100000000</f>
        <v>3299930033</v>
      </c>
    </row>
    <row r="4">
      <c r="A4" s="12"/>
      <c r="B4" s="12"/>
      <c r="C4" s="129" t="s">
        <v>62</v>
      </c>
      <c r="D4" s="107" t="s">
        <v>53</v>
      </c>
      <c r="E4" s="130" t="s">
        <v>63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5</v>
      </c>
      <c r="Y4" s="20">
        <f t="array" ref="Y4">VLOOKUP($U4,$AF$3:$AN$5,5,0)</f>
        <v>8</v>
      </c>
      <c r="Z4" s="20">
        <f t="array" ref="Z4">VLOOKUP($U4,$AF$3:$AN$5,6,0)</f>
        <v>42</v>
      </c>
      <c r="AA4" s="20">
        <f t="array" ref="AA4">VLOOKUP($U4,$AF$3:$AN$5,7,0)</f>
        <v>36</v>
      </c>
      <c r="AB4" s="20">
        <f t="array" ref="AB4">VLOOKUP($U4,$AF$3:$AN$5,8,0)</f>
        <v>6</v>
      </c>
      <c r="AC4" s="20">
        <f t="array" ref="AC4">VLOOKUP($U4,$AF$3:$AN$5,9,0)</f>
        <v>50</v>
      </c>
      <c r="AD4" s="28"/>
      <c r="AE4" s="12"/>
      <c r="AF4" s="26" t="str">
        <f t="shared" si="1"/>
        <v>rio2k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15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5</v>
      </c>
      <c r="AJ4" s="27">
        <f t="array" ref="AJ4">SUM(('ТУР7'!home=AF4)*('ТУР7'!homescore&lt;'ТУР7'!visitorscore),('ТУР7'!visitor=AF4)*('ТУР7'!visitorscore&lt;'ТУР7'!homescore))</f>
        <v>8</v>
      </c>
      <c r="AK4" s="22">
        <f t="array" ref="AK4">SUMIF('ТУР7'!home,AF4,'ТУР7'!homescore)+SUMIF('ТУР7'!visitor,AF4,'ТУР7'!visitorscore)</f>
        <v>42</v>
      </c>
      <c r="AL4" s="27">
        <f t="array" ref="AL4">SUMIF('ТУР7'!home,AF4,'ТУР7'!visitorscore)+SUMIF('ТУР7'!visitor,AF4,'ТУР7'!homescore)</f>
        <v>36</v>
      </c>
      <c r="AM4" s="27">
        <f t="shared" si="2"/>
        <v>6</v>
      </c>
      <c r="AN4" s="22">
        <f t="array" ref="AN4">AH4*Options!$B$2+AI4*Options!$B$3+AJ4*Options!$B$4+VLOOKUP(AF4,$E$4:$F$8,2,0)</f>
        <v>50</v>
      </c>
      <c r="AO4" s="28">
        <f t="shared" si="3"/>
        <v>5000060042</v>
      </c>
    </row>
    <row r="5">
      <c r="A5" s="12"/>
      <c r="B5" s="12"/>
      <c r="C5" s="29" t="s">
        <v>64</v>
      </c>
      <c r="D5" s="107" t="s">
        <v>25</v>
      </c>
      <c r="E5" s="131" t="s">
        <v>65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3</v>
      </c>
      <c r="Y5" s="20">
        <f t="array" ref="Y5">VLOOKUP($U5,$AF$3:$AN$5,5,0)</f>
        <v>14</v>
      </c>
      <c r="Z5" s="20">
        <f t="array" ref="Z5">VLOOKUP($U5,$AF$3:$AN$5,6,0)</f>
        <v>35</v>
      </c>
      <c r="AA5" s="20">
        <f t="array" ref="AA5">VLOOKUP($U5,$AF$3:$AN$5,7,0)</f>
        <v>34</v>
      </c>
      <c r="AB5" s="20">
        <f t="array" ref="AB5">VLOOKUP($U5,$AF$3:$AN$5,8,0)</f>
        <v>1</v>
      </c>
      <c r="AC5" s="20">
        <f t="array" ref="AC5">VLOOKUP($U5,$AF$3:$AN$5,9,0)</f>
        <v>36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11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3</v>
      </c>
      <c r="AJ5" s="27">
        <f t="array" ref="AJ5">SUM(('ТУР7'!home=AF5)*('ТУР7'!homescore&lt;'ТУР7'!visitorscore),('ТУР7'!visitor=AF5)*('ТУР7'!visitorscore&lt;'ТУР7'!homescore))</f>
        <v>14</v>
      </c>
      <c r="AK5" s="22">
        <f t="array" ref="AK5">SUMIF('ТУР7'!home,AF5,'ТУР7'!homescore)+SUMIF('ТУР7'!visitor,AF5,'ТУР7'!visitorscore)</f>
        <v>35</v>
      </c>
      <c r="AL5" s="27">
        <f t="array" ref="AL5">SUMIF('ТУР7'!home,AF5,'ТУР7'!visitorscore)+SUMIF('ТУР7'!visitor,AF5,'ТУР7'!homescore)</f>
        <v>34</v>
      </c>
      <c r="AM5" s="27">
        <f t="shared" si="2"/>
        <v>1</v>
      </c>
      <c r="AN5" s="22">
        <f t="array" ref="AN5">AH5*Options!$B$2+AI5*Options!$B$3+AJ5*Options!$B$4+VLOOKUP(AF5,$E$4:$F$8,2,0)</f>
        <v>36</v>
      </c>
      <c r="AO5" s="28">
        <f t="shared" si="3"/>
        <v>3600010035</v>
      </c>
    </row>
    <row r="6">
      <c r="A6" s="12"/>
      <c r="B6" s="12"/>
      <c r="C6" s="132" t="s">
        <v>66</v>
      </c>
      <c r="D6" s="107" t="s">
        <v>28</v>
      </c>
      <c r="E6" s="31" t="s">
        <v>67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MBK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6</v>
      </c>
      <c r="Y6" s="20">
        <f t="array" ref="Y6">VLOOKUP($U6,$AF$3:$AN$5,5,0)</f>
        <v>13</v>
      </c>
      <c r="Z6" s="20">
        <f t="array" ref="Z6">VLOOKUP($U6,$AF$3:$AN$5,6,0)</f>
        <v>33</v>
      </c>
      <c r="AA6" s="20">
        <f t="array" ref="AA6">VLOOKUP($U6,$AF$3:$AN$5,7,0)</f>
        <v>40</v>
      </c>
      <c r="AB6" s="20">
        <f t="array" ref="AB6">VLOOKUP($U6,$AF$3:$AN$5,8,0)</f>
        <v>-7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MBK</v>
      </c>
      <c r="F12" s="47" t="str">
        <f t="shared" ref="F12:F17" si="7">$E$5</f>
        <v>rio2k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MBK  - (Канада) rio2k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MBK</v>
      </c>
      <c r="F13" s="47" t="str">
        <f t="shared" si="7"/>
        <v>rio2k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MBK  - (Канада) rio2k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MBK</v>
      </c>
      <c r="F14" s="47" t="str">
        <f t="shared" si="7"/>
        <v>rio2k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MBK  - (Канада) rio2k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Deqim</v>
      </c>
      <c r="F15" s="47" t="str">
        <f t="shared" si="7"/>
        <v>rio2k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Deqim  - (Канада) rio2k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Deqim</v>
      </c>
      <c r="F16" s="47" t="str">
        <f t="shared" si="7"/>
        <v>rio2k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Deqim  - (Канада) rio2k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Deqim</v>
      </c>
      <c r="F17" s="47" t="str">
        <f t="shared" si="7"/>
        <v>rio2k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Deqim  - (Канада) rio2k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Deqim</v>
      </c>
      <c r="F18" s="47" t="str">
        <f t="shared" ref="F18:F23" si="15">$E$4</f>
        <v>MBK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Deqim  - (Швейцария) MBK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Deqim</v>
      </c>
      <c r="F19" s="47" t="str">
        <f t="shared" si="15"/>
        <v>MBK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Deqim  - (Швейцария) MBK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Deqim</v>
      </c>
      <c r="F20" s="47" t="str">
        <f t="shared" si="15"/>
        <v>MBK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Deqim  - (Швейцария) MBK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rio2k</v>
      </c>
      <c r="F21" s="47" t="str">
        <f t="shared" si="15"/>
        <v>MBK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rio2k  - (Швейцария) MBK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rio2k</v>
      </c>
      <c r="F22" s="47" t="str">
        <f t="shared" si="15"/>
        <v>MBK</v>
      </c>
      <c r="G22" s="40">
        <f t="shared" si="8"/>
        <v>1</v>
      </c>
      <c r="H22" s="19"/>
      <c r="I22" s="40">
        <f t="shared" si="16"/>
        <v>0</v>
      </c>
      <c r="J22" s="19"/>
      <c r="K22" s="47">
        <v>1.0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rio2k  - (Швейцария) MBK</v>
      </c>
      <c r="V22" s="12" t="str">
        <f t="shared" si="11"/>
        <v>1:0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rio2k</v>
      </c>
      <c r="F23" s="47" t="str">
        <f t="shared" si="15"/>
        <v>MBK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rio2k  - (Швейцария) MBK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rio2k</v>
      </c>
      <c r="F24" s="51" t="str">
        <f t="shared" ref="F24:F29" si="20">$E$6</f>
        <v>Deqim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rio2k  - (США) Deqim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rio2k</v>
      </c>
      <c r="F25" s="51" t="str">
        <f t="shared" si="20"/>
        <v>Deqim</v>
      </c>
      <c r="G25" s="40">
        <f t="shared" si="8"/>
        <v>2</v>
      </c>
      <c r="H25" s="19"/>
      <c r="I25" s="40">
        <f t="shared" si="21"/>
        <v>1</v>
      </c>
      <c r="J25" s="19"/>
      <c r="K25" s="72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rio2k  - (США) Deqim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rio2k</v>
      </c>
      <c r="F26" s="51" t="str">
        <f t="shared" si="20"/>
        <v>Deqim</v>
      </c>
      <c r="G26" s="73">
        <f t="shared" si="8"/>
        <v>2</v>
      </c>
      <c r="H26" s="19"/>
      <c r="I26" s="40">
        <f t="shared" si="21"/>
        <v>1</v>
      </c>
      <c r="J26" s="19"/>
      <c r="K26" s="47">
        <v>2.0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rio2k  - (США) Deqim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MBK</v>
      </c>
      <c r="F27" s="51" t="str">
        <f t="shared" si="20"/>
        <v>Deqim</v>
      </c>
      <c r="G27" s="40">
        <f t="shared" si="8"/>
        <v>0</v>
      </c>
      <c r="H27" s="19"/>
      <c r="I27" s="40">
        <f t="shared" si="21"/>
        <v>1</v>
      </c>
      <c r="J27" s="19"/>
      <c r="K27" s="47">
        <v>0.0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MBK  - (США) Deqim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MBK</v>
      </c>
      <c r="F28" s="51" t="str">
        <f t="shared" si="20"/>
        <v>Deqim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MBK  - (США) Deqim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MBK</v>
      </c>
      <c r="F29" s="51" t="str">
        <f t="shared" si="20"/>
        <v>Deqim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MBK  - (США) Deqim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MBK</v>
      </c>
      <c r="F30" s="47" t="str">
        <f t="shared" ref="F30:F35" si="25">$E$5</f>
        <v>rio2k</v>
      </c>
      <c r="G30" s="40">
        <f t="shared" si="8"/>
        <v>0</v>
      </c>
      <c r="H30" s="19"/>
      <c r="I30" s="40">
        <f t="shared" si="21"/>
        <v>1</v>
      </c>
      <c r="J30" s="19"/>
      <c r="K30" s="47">
        <v>0.0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MBK  - (Канада) rio2k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MBK</v>
      </c>
      <c r="F31" s="47" t="str">
        <f t="shared" si="25"/>
        <v>rio2k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MBK  - (Канада) rio2k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MBK</v>
      </c>
      <c r="F32" s="47" t="str">
        <f t="shared" si="25"/>
        <v>rio2k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MBK  - (Канада) rio2k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Deqim</v>
      </c>
      <c r="F33" s="47" t="str">
        <f t="shared" si="25"/>
        <v>rio2k</v>
      </c>
      <c r="G33" s="40">
        <f t="shared" si="8"/>
        <v>1</v>
      </c>
      <c r="H33" s="19"/>
      <c r="I33" s="40">
        <f t="shared" si="26"/>
        <v>0</v>
      </c>
      <c r="J33" s="19"/>
      <c r="K33" s="47">
        <v>1.0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Deqim  - (Канада) rio2k</v>
      </c>
      <c r="V33" s="12" t="str">
        <f t="shared" si="11"/>
        <v>1:0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Deqim</v>
      </c>
      <c r="F34" s="47" t="str">
        <f t="shared" si="25"/>
        <v>rio2k</v>
      </c>
      <c r="G34" s="40">
        <f t="shared" si="8"/>
        <v>0</v>
      </c>
      <c r="H34" s="19"/>
      <c r="I34" s="40">
        <f t="shared" si="26"/>
        <v>1</v>
      </c>
      <c r="J34" s="19"/>
      <c r="K34" s="47">
        <v>0.0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Deqim  - (Канада) rio2k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Deqim</v>
      </c>
      <c r="F35" s="47" t="str">
        <f t="shared" si="25"/>
        <v>rio2k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Deqim  - (Канада) rio2k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Deqim</v>
      </c>
      <c r="F36" s="47" t="str">
        <f t="shared" ref="F36:F41" si="30">$E$4</f>
        <v>MBK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Deqim  - (Швейцария) MBK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Deqim</v>
      </c>
      <c r="F37" s="47" t="str">
        <f t="shared" si="30"/>
        <v>MBK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Deqim  - (Швейцария) MBK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Deqim</v>
      </c>
      <c r="F38" s="47" t="str">
        <f t="shared" si="30"/>
        <v>MBK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Deqim  - (Швейцария) MBK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rio2k</v>
      </c>
      <c r="F39" s="47" t="str">
        <f t="shared" si="30"/>
        <v>MBK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rio2k  - (Швейцария) MBK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rio2k</v>
      </c>
      <c r="F40" s="47" t="str">
        <f t="shared" si="30"/>
        <v>MBK</v>
      </c>
      <c r="G40" s="40">
        <f t="shared" si="8"/>
        <v>2</v>
      </c>
      <c r="H40" s="19"/>
      <c r="I40" s="40">
        <f t="shared" si="31"/>
        <v>3</v>
      </c>
      <c r="J40" s="19"/>
      <c r="K40" s="47">
        <v>2.0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rio2k  - (Швейцария) MBK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rio2k</v>
      </c>
      <c r="F41" s="47" t="str">
        <f t="shared" si="30"/>
        <v>MBK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rio2k  - (Швейцария) MBK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rio2k</v>
      </c>
      <c r="F42" s="47" t="str">
        <f t="shared" ref="F42:F47" si="35">$E$6</f>
        <v>Deqim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rio2k  - (США) Deqim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rio2k</v>
      </c>
      <c r="F43" s="47" t="str">
        <f t="shared" si="35"/>
        <v>Deqim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rio2k  - (США) Deqim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rio2k</v>
      </c>
      <c r="F44" s="47" t="str">
        <f t="shared" si="35"/>
        <v>Deqim</v>
      </c>
      <c r="G44" s="40">
        <f t="shared" si="8"/>
        <v>0</v>
      </c>
      <c r="H44" s="19"/>
      <c r="I44" s="40">
        <f t="shared" si="36"/>
        <v>2</v>
      </c>
      <c r="J44" s="19"/>
      <c r="K44" s="47">
        <v>0.0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rio2k  - (США) Deqim</v>
      </c>
      <c r="V44" s="12" t="str">
        <f t="shared" si="11"/>
        <v>0:2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MBK</v>
      </c>
      <c r="F45" s="47" t="str">
        <f t="shared" si="35"/>
        <v>Deqim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MBK  - (США) Deqim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MBK</v>
      </c>
      <c r="F46" s="47" t="str">
        <f t="shared" si="35"/>
        <v>Deqim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MBK  - (США) Deqim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MBK</v>
      </c>
      <c r="F47" s="47" t="str">
        <f t="shared" si="35"/>
        <v>Deqim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MBK  - (США) Deqim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MBK</v>
      </c>
      <c r="F48" s="47" t="str">
        <f t="shared" ref="F48:F51" si="40">$E$5</f>
        <v>rio2k</v>
      </c>
      <c r="G48" s="40">
        <f t="shared" si="8"/>
        <v>0</v>
      </c>
      <c r="H48" s="19"/>
      <c r="I48" s="40">
        <f>SUM(L48)</f>
        <v>2</v>
      </c>
      <c r="J48" s="19"/>
      <c r="K48" s="47">
        <v>0.0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MBK  - (Канада) rio2k</v>
      </c>
      <c r="V48" s="12" t="str">
        <f t="shared" si="11"/>
        <v>0:2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MBK</v>
      </c>
      <c r="F49" s="47" t="str">
        <f t="shared" si="40"/>
        <v>rio2k</v>
      </c>
      <c r="G49" s="40">
        <f t="shared" si="8"/>
        <v>3</v>
      </c>
      <c r="H49" s="19"/>
      <c r="I49" s="40">
        <f t="shared" ref="I49:I53" si="41">SUM(L49,O49)</f>
        <v>1</v>
      </c>
      <c r="J49" s="19"/>
      <c r="K49" s="47">
        <v>3.0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MBK  - (Канада) rio2k</v>
      </c>
      <c r="V49" s="12" t="str">
        <f t="shared" si="11"/>
        <v>3:1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Deqim</v>
      </c>
      <c r="F50" s="47" t="str">
        <f t="shared" si="40"/>
        <v>rio2k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Deqim  - (Канада) rio2k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Deqim</v>
      </c>
      <c r="F51" s="47" t="str">
        <f t="shared" si="40"/>
        <v>rio2k</v>
      </c>
      <c r="G51" s="40">
        <f t="shared" si="8"/>
        <v>2</v>
      </c>
      <c r="H51" s="19"/>
      <c r="I51" s="40">
        <f t="shared" si="41"/>
        <v>3</v>
      </c>
      <c r="J51" s="19"/>
      <c r="K51" s="47">
        <v>2.0</v>
      </c>
      <c r="L51" s="47">
        <v>3.0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Deqim  - (Канада) rio2k</v>
      </c>
      <c r="V51" s="12" t="str">
        <f t="shared" si="11"/>
        <v>2:3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Deqim</v>
      </c>
      <c r="F52" s="47" t="str">
        <f t="shared" ref="F52:F53" si="45">$E$4</f>
        <v>MBK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Deqim  - (Швейцария) MBK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Deqim</v>
      </c>
      <c r="F53" s="47" t="str">
        <f t="shared" si="45"/>
        <v>MBK</v>
      </c>
      <c r="G53" s="40">
        <f t="shared" si="8"/>
        <v>1</v>
      </c>
      <c r="H53" s="19"/>
      <c r="I53" s="40">
        <f t="shared" si="41"/>
        <v>0</v>
      </c>
      <c r="J53" s="19"/>
      <c r="K53" s="47">
        <v>1.0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Deqim  - (Швейцария) MBK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70</v>
      </c>
      <c r="F1" s="81">
        <f>'ТУР1'!$F$1</f>
        <v>45683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133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133"/>
      <c r="U2" s="91" t="str">
        <f>C1</f>
        <v>Bullet shot Cup</v>
      </c>
      <c r="V2" s="92" t="str">
        <f>E1</f>
        <v>ТУР8</v>
      </c>
      <c r="W2" s="93"/>
      <c r="X2" s="93"/>
      <c r="Y2" s="93"/>
      <c r="Z2" s="4"/>
      <c r="AA2" s="94">
        <f>$F$1</f>
        <v>45683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134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MBK</v>
      </c>
      <c r="AG3" s="104">
        <f t="array" ref="AG3">SUM(($E$12:$E$56=AF3)*(ISNUMBER($G$12:$G$56)),($F$12:$F$56=AF3)*(ISNUMBER($I$12:$I$56)))</f>
        <v>30</v>
      </c>
      <c r="AH3" s="84">
        <f t="array" ref="AH3">SUM(('ТУР8'!home=AF3)*('ТУР8'!homescore&gt;'ТУР8'!visitorscore),('ТУР8'!visitor=AF3)*('ТУР8'!visitorscore&gt;'ТУР8'!homescore))</f>
        <v>12</v>
      </c>
      <c r="AI3" s="84">
        <f t="array" ref="AI3">SUM(('ТУР8'!home=AF3)*('ТУР8'!homescore='ТУР8'!visitorscore)*ISNUMBER('ТУР8'!visitorscore),('ТУР8'!visitor=AF3)*('ТУР8'!visitorscore='ТУР8'!homescore)*ISNUMBER('ТУР8'!homescore))</f>
        <v>7</v>
      </c>
      <c r="AJ3" s="84">
        <f t="array" ref="AJ3">SUM(('ТУР8'!home=AF3)*('ТУР8'!homescore&lt;'ТУР8'!visitorscore),('ТУР8'!visitor=AF3)*('ТУР8'!visitorscore&lt;'ТУР8'!homescore))</f>
        <v>11</v>
      </c>
      <c r="AK3" s="105">
        <f t="array" ref="AK3">SUMIF('ТУР8'!home,AF3,'ТУР8'!homescore)+SUMIF('ТУР8'!visitor,AF3,'ТУР8'!visitorscore)</f>
        <v>42</v>
      </c>
      <c r="AL3" s="106">
        <f t="array" ref="AL3">SUMIF('ТУР8'!home,AF3,'ТУР8'!visitorscore)+SUMIF('ТУР8'!visitor,AF3,'ТУР8'!homescore)</f>
        <v>39</v>
      </c>
      <c r="AM3" s="84">
        <f t="shared" ref="AM3:AM5" si="2">AK3-AL3</f>
        <v>3</v>
      </c>
      <c r="AN3" s="105">
        <f t="array" ref="AN3">AH3*Options!$B$2+AI3*Options!$B$3+AJ3*Options!$B$4+VLOOKUP(AF3,$E$4:$F$8,2,0)</f>
        <v>43</v>
      </c>
      <c r="AO3" s="85">
        <f t="shared" ref="AO3:AO5" si="3">AK3+AM3*10000+AN3*100000000</f>
        <v>4300030042</v>
      </c>
    </row>
    <row r="4">
      <c r="A4" s="85"/>
      <c r="B4" s="88"/>
      <c r="C4" s="129" t="s">
        <v>62</v>
      </c>
      <c r="D4" s="107" t="s">
        <v>31</v>
      </c>
      <c r="E4" s="130" t="s">
        <v>63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134"/>
      <c r="U4" s="108" t="str">
        <f t="array" ref="U4">INDEX($AF$3:$AF$5,MATCH(LARGE($AO$3:$AO$5-ROW($AO$3:$AO$5)/COUNT($AO$3:$AO$5),ROW(U4)-ROW(U$4)+1),$AO$3:$AO$5-ROW($AO$3:$AO$5)/COUNT($AO$3:$AO$5),0))</f>
        <v>Deqim</v>
      </c>
      <c r="V4" s="101">
        <f t="array" ref="V4">VLOOKUP($U4,$AF$3:$AN$5,2,0)</f>
        <v>30</v>
      </c>
      <c r="W4" s="102">
        <f t="array" ref="W4">VLOOKUP($U4,$AF$3:$AN$5,3,0)</f>
        <v>12</v>
      </c>
      <c r="X4" s="102">
        <f t="array" ref="X4">VLOOKUP($U4,$AF$3:$AN$5,4,0)</f>
        <v>11</v>
      </c>
      <c r="Y4" s="102">
        <f t="array" ref="Y4">VLOOKUP($U4,$AF$3:$AN$5,5,0)</f>
        <v>7</v>
      </c>
      <c r="Z4" s="102">
        <f t="array" ref="Z4">VLOOKUP($U4,$AF$3:$AN$5,6,0)</f>
        <v>45</v>
      </c>
      <c r="AA4" s="102">
        <f t="array" ref="AA4">VLOOKUP($U4,$AF$3:$AN$5,7,0)</f>
        <v>41</v>
      </c>
      <c r="AB4" s="102">
        <f t="array" ref="AB4">VLOOKUP($U4,$AF$3:$AN$5,8,0)</f>
        <v>4</v>
      </c>
      <c r="AC4" s="102">
        <f t="array" ref="AC4">VLOOKUP($U4,$AF$3:$AN$5,9,0)</f>
        <v>47</v>
      </c>
      <c r="AD4" s="28"/>
      <c r="AE4" s="85"/>
      <c r="AF4" s="109" t="str">
        <f t="shared" si="1"/>
        <v>rio2k</v>
      </c>
      <c r="AG4" s="104">
        <f t="array" ref="AG4">SUM(($E$12:$E$56=AF4)*(ISNUMBER($G$12:$G$56)),($F$12:$F$56=AF4)*(ISNUMBER($I$12:$I$56)))</f>
        <v>30</v>
      </c>
      <c r="AH4" s="84">
        <f t="array" ref="AH4">SUM(('ТУР8'!home=AF4)*('ТУР8'!homescore&gt;'ТУР8'!visitorscore),('ТУР8'!visitor=AF4)*('ТУР8'!visitorscore&gt;'ТУР8'!homescore))</f>
        <v>8</v>
      </c>
      <c r="AI4" s="84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84">
        <f t="array" ref="AJ4">SUM(('ТУР8'!home=AF4)*('ТУР8'!homescore&lt;'ТУР8'!visitorscore),('ТУР8'!visitor=AF4)*('ТУР8'!visitorscore&lt;'ТУР8'!homescore))</f>
        <v>14</v>
      </c>
      <c r="AK4" s="105">
        <f t="array" ref="AK4">SUMIF('ТУР8'!home,AF4,'ТУР8'!homescore)+SUMIF('ТУР8'!visitor,AF4,'ТУР8'!visitorscore)</f>
        <v>40</v>
      </c>
      <c r="AL4" s="106">
        <f t="array" ref="AL4">SUMIF('ТУР8'!home,AF4,'ТУР8'!visitorscore)+SUMIF('ТУР8'!visitor,AF4,'ТУР8'!homescore)</f>
        <v>47</v>
      </c>
      <c r="AM4" s="84">
        <f t="shared" si="2"/>
        <v>-7</v>
      </c>
      <c r="AN4" s="105">
        <f t="array" ref="AN4">AH4*Options!$B$2+AI4*Options!$B$3+AJ4*Options!$B$4+VLOOKUP(AF4,$E$4:$F$8,2,0)</f>
        <v>32</v>
      </c>
      <c r="AO4" s="85">
        <f t="shared" si="3"/>
        <v>3199930040</v>
      </c>
    </row>
    <row r="5">
      <c r="A5" s="85"/>
      <c r="B5" s="88"/>
      <c r="C5" s="29" t="s">
        <v>64</v>
      </c>
      <c r="D5" s="107" t="s">
        <v>46</v>
      </c>
      <c r="E5" s="131" t="s">
        <v>65</v>
      </c>
      <c r="F5" s="7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134"/>
      <c r="U5" s="108" t="str">
        <f t="array" ref="U5">INDEX($AF$3:$AF$5,MATCH(LARGE($AO$3:$AO$5-ROW($AO$3:$AO$5)/COUNT($AO$3:$AO$5),ROW(U5)-ROW(U$4)+1),$AO$3:$AO$5-ROW($AO$3:$AO$5)/COUNT($AO$3:$AO$5),0))</f>
        <v>MBK</v>
      </c>
      <c r="V5" s="101">
        <f t="array" ref="V5">VLOOKUP($U5,$AF$3:$AN$5,2,0)</f>
        <v>30</v>
      </c>
      <c r="W5" s="102">
        <f t="array" ref="W5">VLOOKUP($U5,$AF$3:$AN$5,3,0)</f>
        <v>12</v>
      </c>
      <c r="X5" s="102">
        <f t="array" ref="X5">VLOOKUP($U5,$AF$3:$AN$5,4,0)</f>
        <v>7</v>
      </c>
      <c r="Y5" s="102">
        <f t="array" ref="Y5">VLOOKUP($U5,$AF$3:$AN$5,5,0)</f>
        <v>11</v>
      </c>
      <c r="Z5" s="102">
        <f t="array" ref="Z5">VLOOKUP($U5,$AF$3:$AN$5,6,0)</f>
        <v>42</v>
      </c>
      <c r="AA5" s="102">
        <f t="array" ref="AA5">VLOOKUP($U5,$AF$3:$AN$5,7,0)</f>
        <v>39</v>
      </c>
      <c r="AB5" s="102">
        <f t="array" ref="AB5">VLOOKUP($U5,$AF$3:$AN$5,8,0)</f>
        <v>3</v>
      </c>
      <c r="AC5" s="102">
        <f t="array" ref="AC5">VLOOKUP($U5,$AF$3:$AN$5,9,0)</f>
        <v>43</v>
      </c>
      <c r="AD5" s="28"/>
      <c r="AE5" s="85"/>
      <c r="AF5" s="109" t="str">
        <f t="shared" si="1"/>
        <v>Deqim</v>
      </c>
      <c r="AG5" s="104">
        <f t="array" ref="AG5">SUM(($E$12:$E$56=AF5)*(ISNUMBER($G$12:$G$56)),($F$12:$F$56=AF5)*(ISNUMBER($I$12:$I$56)))</f>
        <v>30</v>
      </c>
      <c r="AH5" s="84">
        <f t="array" ref="AH5">SUM(('ТУР8'!home=AF5)*('ТУР8'!homescore&gt;'ТУР8'!visitorscore),('ТУР8'!visitor=AF5)*('ТУР8'!visitorscore&gt;'ТУР8'!homescore))</f>
        <v>12</v>
      </c>
      <c r="AI5" s="84">
        <f t="array" ref="AI5">SUM(('ТУР8'!home=AF5)*('ТУР8'!homescore='ТУР8'!visitorscore)*ISNUMBER('ТУР8'!visitorscore),('ТУР8'!visitor=AF5)*('ТУР8'!visitorscore='ТУР8'!homescore)*ISNUMBER('ТУР8'!homescore))</f>
        <v>11</v>
      </c>
      <c r="AJ5" s="84">
        <f t="array" ref="AJ5">SUM(('ТУР8'!home=AF5)*('ТУР8'!homescore&lt;'ТУР8'!visitorscore),('ТУР8'!visitor=AF5)*('ТУР8'!visitorscore&lt;'ТУР8'!homescore))</f>
        <v>7</v>
      </c>
      <c r="AK5" s="105">
        <f t="array" ref="AK5">SUMIF('ТУР8'!home,AF5,'ТУР8'!homescore)+SUMIF('ТУР8'!visitor,AF5,'ТУР8'!visitorscore)</f>
        <v>45</v>
      </c>
      <c r="AL5" s="106">
        <f t="array" ref="AL5">SUMIF('ТУР8'!home,AF5,'ТУР8'!visitorscore)+SUMIF('ТУР8'!visitor,AF5,'ТУР8'!homescore)</f>
        <v>41</v>
      </c>
      <c r="AM5" s="84">
        <f t="shared" si="2"/>
        <v>4</v>
      </c>
      <c r="AN5" s="105">
        <f t="array" ref="AN5">AH5*Options!$B$2+AI5*Options!$B$3+AJ5*Options!$B$4+VLOOKUP(AF5,$E$4:$F$8,2,0)</f>
        <v>47</v>
      </c>
      <c r="AO5" s="85">
        <f t="shared" si="3"/>
        <v>4700040045</v>
      </c>
    </row>
    <row r="6">
      <c r="A6" s="85"/>
      <c r="B6" s="88"/>
      <c r="C6" s="132" t="s">
        <v>66</v>
      </c>
      <c r="D6" s="107" t="s">
        <v>47</v>
      </c>
      <c r="E6" s="31" t="s">
        <v>67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134"/>
      <c r="U6" s="108" t="str">
        <f t="array" ref="U6">INDEX($AF$3:$AF$5,MATCH(LARGE($AO$3:$AO$5-ROW($AO$3:$AO$5)/COUNT($AO$3:$AO$5),ROW(U6)-ROW(U$4)+1),$AO$3:$AO$5-ROW($AO$3:$AO$5)/COUNT($AO$3:$AO$5),0))</f>
        <v>rio2k</v>
      </c>
      <c r="V6" s="101">
        <f t="array" ref="V6">VLOOKUP($U6,$AF$3:$AN$5,2,0)</f>
        <v>30</v>
      </c>
      <c r="W6" s="102">
        <f t="array" ref="W6">VLOOKUP($U6,$AF$3:$AN$5,3,0)</f>
        <v>8</v>
      </c>
      <c r="X6" s="102">
        <f t="array" ref="X6">VLOOKUP($U6,$AF$3:$AN$5,4,0)</f>
        <v>8</v>
      </c>
      <c r="Y6" s="102">
        <f t="array" ref="Y6">VLOOKUP($U6,$AF$3:$AN$5,5,0)</f>
        <v>14</v>
      </c>
      <c r="Z6" s="102">
        <f t="array" ref="Z6">VLOOKUP($U6,$AF$3:$AN$5,6,0)</f>
        <v>40</v>
      </c>
      <c r="AA6" s="102">
        <f t="array" ref="AA6">VLOOKUP($U6,$AF$3:$AN$5,7,0)</f>
        <v>47</v>
      </c>
      <c r="AB6" s="102">
        <f t="array" ref="AB6">VLOOKUP($U6,$AF$3:$AN$5,8,0)</f>
        <v>-7</v>
      </c>
      <c r="AC6" s="102">
        <f t="array" ref="AC6">VLOOKUP($U6,$AF$3:$AN$5,9,0)</f>
        <v>32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134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134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134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135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134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0.20833333333333334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MBK</v>
      </c>
      <c r="F12" s="115" t="str">
        <f t="shared" ref="F12:F17" si="7">$E$5</f>
        <v>rio2k</v>
      </c>
      <c r="G12" s="113">
        <f t="shared" ref="G12:G56" si="8">SUM(K12)</f>
        <v>1</v>
      </c>
      <c r="H12" s="115"/>
      <c r="I12" s="113">
        <f t="shared" ref="I12:I18" si="9">SUM(L12)</f>
        <v>2</v>
      </c>
      <c r="J12" s="115"/>
      <c r="K12" s="118">
        <v>1.0</v>
      </c>
      <c r="L12" s="120">
        <v>2.0</v>
      </c>
      <c r="M12" s="121"/>
      <c r="N12" s="89"/>
      <c r="O12" s="89"/>
      <c r="P12" s="89"/>
      <c r="Q12" s="89"/>
      <c r="R12" s="89"/>
      <c r="S12" s="89"/>
      <c r="T12" s="136">
        <v>70.0</v>
      </c>
      <c r="U12" s="122" t="str">
        <f t="shared" ref="U12:U56" si="10">TEXT(B12,"h:mm")&amp;" "&amp;($C$1)&amp;" ("&amp;C12&amp;") "&amp;E12&amp;" "&amp;" - ("&amp;D12&amp;") "&amp;F12&amp;""</f>
        <v>5:00 Bullet shot Cup (Швеция) MBK  - (Финляндия) rio2k</v>
      </c>
      <c r="V12" s="85" t="str">
        <f t="shared" ref="V12:V56" si="11">TEXT(G12,"0")&amp;":"&amp;TEXT(I12,"0")</f>
        <v>1:2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0.2111111111111111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MBK</v>
      </c>
      <c r="F13" s="115" t="str">
        <f t="shared" si="7"/>
        <v>rio2k</v>
      </c>
      <c r="G13" s="113">
        <f t="shared" si="8"/>
        <v>2</v>
      </c>
      <c r="H13" s="115"/>
      <c r="I13" s="113">
        <f t="shared" si="9"/>
        <v>1</v>
      </c>
      <c r="J13" s="115"/>
      <c r="K13" s="119">
        <v>2.0</v>
      </c>
      <c r="L13" s="123">
        <v>1.0</v>
      </c>
      <c r="M13" s="121"/>
      <c r="N13" s="89"/>
      <c r="O13" s="89"/>
      <c r="P13" s="89"/>
      <c r="Q13" s="89"/>
      <c r="R13" s="89"/>
      <c r="S13" s="89"/>
      <c r="T13" s="136">
        <v>71.0</v>
      </c>
      <c r="U13" s="122" t="str">
        <f t="shared" si="10"/>
        <v>5:04 Bullet shot Cup (Швеция) MBK  - (Финляндия) rio2k</v>
      </c>
      <c r="V13" s="85" t="str">
        <f t="shared" si="11"/>
        <v>2:1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0.21388888888888888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MBK</v>
      </c>
      <c r="F14" s="115" t="str">
        <f t="shared" si="7"/>
        <v>rio2k</v>
      </c>
      <c r="G14" s="113">
        <f t="shared" si="8"/>
        <v>2</v>
      </c>
      <c r="H14" s="115"/>
      <c r="I14" s="113">
        <f t="shared" si="9"/>
        <v>0</v>
      </c>
      <c r="J14" s="115"/>
      <c r="K14" s="119">
        <v>2.0</v>
      </c>
      <c r="L14" s="123">
        <v>0.0</v>
      </c>
      <c r="M14" s="121"/>
      <c r="N14" s="89"/>
      <c r="O14" s="89"/>
      <c r="P14" s="89"/>
      <c r="Q14" s="89"/>
      <c r="R14" s="89"/>
      <c r="S14" s="89"/>
      <c r="T14" s="136">
        <v>72.0</v>
      </c>
      <c r="U14" s="122" t="str">
        <f t="shared" si="10"/>
        <v>5:08 Bullet shot Cup (Швеция) MBK  - (Финляндия) rio2k</v>
      </c>
      <c r="V14" s="85" t="str">
        <f t="shared" si="11"/>
        <v>2:0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0.21666666666666667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Deqim</v>
      </c>
      <c r="F15" s="115" t="str">
        <f t="shared" si="7"/>
        <v>rio2k</v>
      </c>
      <c r="G15" s="113">
        <f t="shared" si="8"/>
        <v>2</v>
      </c>
      <c r="H15" s="115"/>
      <c r="I15" s="113">
        <f t="shared" si="9"/>
        <v>1</v>
      </c>
      <c r="J15" s="115"/>
      <c r="K15" s="119">
        <v>2.0</v>
      </c>
      <c r="L15" s="123">
        <v>1.0</v>
      </c>
      <c r="M15" s="121"/>
      <c r="N15" s="89"/>
      <c r="O15" s="89"/>
      <c r="P15" s="89"/>
      <c r="Q15" s="89"/>
      <c r="R15" s="89"/>
      <c r="S15" s="89"/>
      <c r="T15" s="136">
        <v>73.0</v>
      </c>
      <c r="U15" s="122" t="str">
        <f t="shared" si="10"/>
        <v>5:12 Bullet shot Cup (Чехия) Deqim  - (Финляндия) rio2k</v>
      </c>
      <c r="V15" s="85" t="str">
        <f t="shared" si="11"/>
        <v>2:1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0.21944444444444444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Deqim</v>
      </c>
      <c r="F16" s="115" t="str">
        <f t="shared" si="7"/>
        <v>rio2k</v>
      </c>
      <c r="G16" s="113">
        <f t="shared" si="8"/>
        <v>2</v>
      </c>
      <c r="H16" s="115"/>
      <c r="I16" s="113">
        <f t="shared" si="9"/>
        <v>1</v>
      </c>
      <c r="J16" s="115"/>
      <c r="K16" s="119">
        <v>2.0</v>
      </c>
      <c r="L16" s="123">
        <v>1.0</v>
      </c>
      <c r="M16" s="121"/>
      <c r="N16" s="89"/>
      <c r="O16" s="89"/>
      <c r="P16" s="89"/>
      <c r="Q16" s="89"/>
      <c r="R16" s="89"/>
      <c r="S16" s="89"/>
      <c r="T16" s="136">
        <v>74.0</v>
      </c>
      <c r="U16" s="122" t="str">
        <f t="shared" si="10"/>
        <v>5:16 Bullet shot Cup (Чехия) Deqim  - (Финляндия) rio2k</v>
      </c>
      <c r="V16" s="85" t="str">
        <f t="shared" si="11"/>
        <v>2:1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0.2222222222222222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Deqim</v>
      </c>
      <c r="F17" s="115" t="str">
        <f t="shared" si="7"/>
        <v>rio2k</v>
      </c>
      <c r="G17" s="113">
        <f t="shared" si="8"/>
        <v>2</v>
      </c>
      <c r="H17" s="115"/>
      <c r="I17" s="113">
        <f t="shared" si="9"/>
        <v>2</v>
      </c>
      <c r="J17" s="115"/>
      <c r="K17" s="115">
        <v>2.0</v>
      </c>
      <c r="L17" s="115">
        <v>2.0</v>
      </c>
      <c r="M17" s="121"/>
      <c r="N17" s="89"/>
      <c r="O17" s="89"/>
      <c r="P17" s="89"/>
      <c r="Q17" s="89"/>
      <c r="R17" s="89"/>
      <c r="S17" s="89"/>
      <c r="T17" s="136">
        <v>75.0</v>
      </c>
      <c r="U17" s="122" t="str">
        <f t="shared" si="10"/>
        <v>5:20 Bullet shot Cup (Чехия) Deqim  - (Финляндия) rio2k</v>
      </c>
      <c r="V17" s="85" t="str">
        <f t="shared" si="11"/>
        <v>2:2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0.225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Deqim</v>
      </c>
      <c r="F18" s="115" t="str">
        <f t="shared" ref="F18:F23" si="15">$E$4</f>
        <v>MBK</v>
      </c>
      <c r="G18" s="113">
        <f t="shared" si="8"/>
        <v>0</v>
      </c>
      <c r="H18" s="115"/>
      <c r="I18" s="113">
        <f t="shared" si="9"/>
        <v>1</v>
      </c>
      <c r="J18" s="115"/>
      <c r="K18" s="118">
        <v>0.0</v>
      </c>
      <c r="L18" s="120">
        <v>1.0</v>
      </c>
      <c r="M18" s="121"/>
      <c r="N18" s="128"/>
      <c r="O18" s="128"/>
      <c r="P18" s="89"/>
      <c r="Q18" s="128"/>
      <c r="R18" s="128"/>
      <c r="S18" s="89"/>
      <c r="T18" s="136">
        <v>76.0</v>
      </c>
      <c r="U18" s="122" t="str">
        <f t="shared" si="10"/>
        <v>5:24 Bullet shot Cup (Чехия) Deqim  - (Швеция) MBK</v>
      </c>
      <c r="V18" s="85" t="str">
        <f t="shared" si="11"/>
        <v>0:1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0.22777777777777777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Deqim</v>
      </c>
      <c r="F19" s="115" t="str">
        <f t="shared" si="15"/>
        <v>MBK</v>
      </c>
      <c r="G19" s="113">
        <f t="shared" si="8"/>
        <v>2</v>
      </c>
      <c r="H19" s="115"/>
      <c r="I19" s="113">
        <f t="shared" ref="I19:I23" si="16">SUM(L19,O19)</f>
        <v>2</v>
      </c>
      <c r="J19" s="115"/>
      <c r="K19" s="119">
        <v>2.0</v>
      </c>
      <c r="L19" s="123">
        <v>2.0</v>
      </c>
      <c r="M19" s="121"/>
      <c r="N19" s="128"/>
      <c r="O19" s="128"/>
      <c r="P19" s="89"/>
      <c r="Q19" s="128"/>
      <c r="R19" s="128"/>
      <c r="S19" s="89"/>
      <c r="T19" s="136">
        <v>77.0</v>
      </c>
      <c r="U19" s="122" t="str">
        <f t="shared" si="10"/>
        <v>5:28 Bullet shot Cup (Чехия) Deqim  - (Швеция) MBK</v>
      </c>
      <c r="V19" s="85" t="str">
        <f t="shared" si="11"/>
        <v>2:2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0.23055555555555557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Deqim</v>
      </c>
      <c r="F20" s="115" t="str">
        <f t="shared" si="15"/>
        <v>MBK</v>
      </c>
      <c r="G20" s="113">
        <f t="shared" si="8"/>
        <v>2</v>
      </c>
      <c r="H20" s="115"/>
      <c r="I20" s="113">
        <f t="shared" si="16"/>
        <v>2</v>
      </c>
      <c r="J20" s="115"/>
      <c r="K20" s="119">
        <v>2.0</v>
      </c>
      <c r="L20" s="123">
        <v>2.0</v>
      </c>
      <c r="M20" s="121"/>
      <c r="N20" s="128"/>
      <c r="O20" s="128"/>
      <c r="P20" s="89"/>
      <c r="Q20" s="128"/>
      <c r="R20" s="128"/>
      <c r="S20" s="89"/>
      <c r="T20" s="136">
        <v>78.0</v>
      </c>
      <c r="U20" s="122" t="str">
        <f t="shared" si="10"/>
        <v>5:32 Bullet shot Cup (Чехия) Deqim  - (Швеция) MBK</v>
      </c>
      <c r="V20" s="85" t="str">
        <f t="shared" si="11"/>
        <v>2:2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0.23333333333333334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rio2k</v>
      </c>
      <c r="F21" s="115" t="str">
        <f t="shared" si="15"/>
        <v>MBK</v>
      </c>
      <c r="G21" s="113">
        <f t="shared" si="8"/>
        <v>2</v>
      </c>
      <c r="H21" s="115"/>
      <c r="I21" s="113">
        <f t="shared" si="16"/>
        <v>1</v>
      </c>
      <c r="J21" s="115"/>
      <c r="K21" s="119">
        <v>2.0</v>
      </c>
      <c r="L21" s="123">
        <v>1.0</v>
      </c>
      <c r="M21" s="121"/>
      <c r="N21" s="128"/>
      <c r="O21" s="128"/>
      <c r="P21" s="89"/>
      <c r="Q21" s="128"/>
      <c r="R21" s="128"/>
      <c r="S21" s="89"/>
      <c r="T21" s="136">
        <v>79.0</v>
      </c>
      <c r="U21" s="122" t="str">
        <f t="shared" si="10"/>
        <v>5:36 Bullet shot Cup (Финляндия) rio2k  - (Швеция) MBK</v>
      </c>
      <c r="V21" s="85" t="str">
        <f t="shared" si="11"/>
        <v>2:1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0.2361111111111111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rio2k</v>
      </c>
      <c r="F22" s="115" t="str">
        <f t="shared" si="15"/>
        <v>MBK</v>
      </c>
      <c r="G22" s="113">
        <f t="shared" si="8"/>
        <v>2</v>
      </c>
      <c r="H22" s="115"/>
      <c r="I22" s="113">
        <f t="shared" si="16"/>
        <v>2</v>
      </c>
      <c r="J22" s="115"/>
      <c r="K22" s="119">
        <v>2.0</v>
      </c>
      <c r="L22" s="123">
        <v>2.0</v>
      </c>
      <c r="M22" s="121"/>
      <c r="N22" s="128"/>
      <c r="O22" s="128"/>
      <c r="P22" s="89"/>
      <c r="Q22" s="128"/>
      <c r="R22" s="128"/>
      <c r="S22" s="89"/>
      <c r="T22" s="136">
        <v>80.0</v>
      </c>
      <c r="U22" s="122" t="str">
        <f t="shared" si="10"/>
        <v>5:40 Bullet shot Cup (Финляндия) rio2k  - (Швеция) MBK</v>
      </c>
      <c r="V22" s="85" t="str">
        <f t="shared" si="11"/>
        <v>2:2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0.2388888888888889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rio2k</v>
      </c>
      <c r="F23" s="115" t="str">
        <f t="shared" si="15"/>
        <v>MBK</v>
      </c>
      <c r="G23" s="113">
        <f t="shared" si="8"/>
        <v>1</v>
      </c>
      <c r="H23" s="115"/>
      <c r="I23" s="113">
        <f t="shared" si="16"/>
        <v>2</v>
      </c>
      <c r="J23" s="115"/>
      <c r="K23" s="115">
        <v>1.0</v>
      </c>
      <c r="L23" s="115">
        <v>2.0</v>
      </c>
      <c r="M23" s="121"/>
      <c r="N23" s="89"/>
      <c r="O23" s="89"/>
      <c r="P23" s="89"/>
      <c r="Q23" s="89"/>
      <c r="R23" s="89"/>
      <c r="S23" s="89"/>
      <c r="T23" s="136">
        <v>81.0</v>
      </c>
      <c r="U23" s="122" t="str">
        <f t="shared" si="10"/>
        <v>5:44 Bullet shot Cup (Финляндия) rio2k  - (Швеция) MBK</v>
      </c>
      <c r="V23" s="85" t="str">
        <f t="shared" si="11"/>
        <v>1:2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0.24166666666666667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rio2k</v>
      </c>
      <c r="F24" s="124" t="str">
        <f t="shared" ref="F24:F29" si="20">$E$6</f>
        <v>Deqim</v>
      </c>
      <c r="G24" s="113">
        <f t="shared" si="8"/>
        <v>1</v>
      </c>
      <c r="H24" s="115"/>
      <c r="I24" s="113">
        <f t="shared" ref="I24:I30" si="21">SUM(L24)</f>
        <v>2</v>
      </c>
      <c r="J24" s="115"/>
      <c r="K24" s="118">
        <v>1.0</v>
      </c>
      <c r="L24" s="120">
        <v>2.0</v>
      </c>
      <c r="M24" s="89"/>
      <c r="N24" s="89"/>
      <c r="O24" s="89"/>
      <c r="P24" s="89"/>
      <c r="Q24" s="89"/>
      <c r="R24" s="89"/>
      <c r="S24" s="89"/>
      <c r="T24" s="136">
        <v>82.0</v>
      </c>
      <c r="U24" s="122" t="str">
        <f t="shared" si="10"/>
        <v>5:48 Bullet shot Cup (Финляндия) rio2k  - (Чехия) Deqim</v>
      </c>
      <c r="V24" s="85" t="str">
        <f t="shared" si="11"/>
        <v>1:2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0.24444444444444444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rio2k</v>
      </c>
      <c r="F25" s="124" t="str">
        <f t="shared" si="20"/>
        <v>Deqim</v>
      </c>
      <c r="G25" s="113">
        <f t="shared" si="8"/>
        <v>1</v>
      </c>
      <c r="H25" s="115"/>
      <c r="I25" s="113">
        <f t="shared" si="21"/>
        <v>1</v>
      </c>
      <c r="J25" s="115"/>
      <c r="K25" s="119">
        <v>1.0</v>
      </c>
      <c r="L25" s="123">
        <v>1.0</v>
      </c>
      <c r="M25" s="89"/>
      <c r="N25" s="89"/>
      <c r="O25" s="89"/>
      <c r="P25" s="89"/>
      <c r="Q25" s="89"/>
      <c r="R25" s="89"/>
      <c r="S25" s="89"/>
      <c r="T25" s="136">
        <v>83.0</v>
      </c>
      <c r="U25" s="122" t="str">
        <f t="shared" si="10"/>
        <v>5:52 Bullet shot Cup (Финляндия) rio2k  - (Чехия) Deqim</v>
      </c>
      <c r="V25" s="85" t="str">
        <f t="shared" si="11"/>
        <v>1:1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0.24722222222222223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rio2k</v>
      </c>
      <c r="F26" s="124" t="str">
        <f t="shared" si="20"/>
        <v>Deqim</v>
      </c>
      <c r="G26" s="113">
        <f t="shared" si="8"/>
        <v>2</v>
      </c>
      <c r="H26" s="115"/>
      <c r="I26" s="113">
        <f t="shared" si="21"/>
        <v>3</v>
      </c>
      <c r="J26" s="115"/>
      <c r="K26" s="119">
        <v>2.0</v>
      </c>
      <c r="L26" s="123">
        <v>3.0</v>
      </c>
      <c r="M26" s="89"/>
      <c r="N26" s="89"/>
      <c r="O26" s="89"/>
      <c r="P26" s="89"/>
      <c r="Q26" s="89"/>
      <c r="R26" s="89"/>
      <c r="S26" s="89"/>
      <c r="T26" s="136">
        <v>84.0</v>
      </c>
      <c r="U26" s="122" t="str">
        <f t="shared" si="10"/>
        <v>5:56 Bullet shot Cup (Финляндия) rio2k  - (Чехия) Deqim</v>
      </c>
      <c r="V26" s="85" t="str">
        <f t="shared" si="11"/>
        <v>2:3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0.25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MBK</v>
      </c>
      <c r="F27" s="124" t="str">
        <f t="shared" si="20"/>
        <v>Deqim</v>
      </c>
      <c r="G27" s="113">
        <f t="shared" si="8"/>
        <v>0</v>
      </c>
      <c r="H27" s="115"/>
      <c r="I27" s="113">
        <f t="shared" si="21"/>
        <v>1</v>
      </c>
      <c r="J27" s="115"/>
      <c r="K27" s="119">
        <v>0.0</v>
      </c>
      <c r="L27" s="123">
        <v>1.0</v>
      </c>
      <c r="M27" s="89"/>
      <c r="N27" s="89"/>
      <c r="O27" s="89"/>
      <c r="P27" s="89"/>
      <c r="Q27" s="89"/>
      <c r="R27" s="89"/>
      <c r="S27" s="89"/>
      <c r="T27" s="136">
        <v>85.0</v>
      </c>
      <c r="U27" s="122" t="str">
        <f t="shared" si="10"/>
        <v>6:00 Bullet shot Cup (Швеция) MBK  - (Чехия) Deqim</v>
      </c>
      <c r="V27" s="85" t="str">
        <f t="shared" si="11"/>
        <v>0:1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0.25277777777777777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MBK</v>
      </c>
      <c r="F28" s="124" t="str">
        <f t="shared" si="20"/>
        <v>Deqim</v>
      </c>
      <c r="G28" s="113">
        <f t="shared" si="8"/>
        <v>2</v>
      </c>
      <c r="H28" s="115"/>
      <c r="I28" s="113">
        <f t="shared" si="21"/>
        <v>2</v>
      </c>
      <c r="J28" s="115"/>
      <c r="K28" s="119">
        <v>2.0</v>
      </c>
      <c r="L28" s="123">
        <v>2.0</v>
      </c>
      <c r="M28" s="89"/>
      <c r="N28" s="89"/>
      <c r="O28" s="89"/>
      <c r="P28" s="89"/>
      <c r="Q28" s="89"/>
      <c r="R28" s="89"/>
      <c r="S28" s="89"/>
      <c r="T28" s="136">
        <v>86.0</v>
      </c>
      <c r="U28" s="122" t="str">
        <f t="shared" si="10"/>
        <v>6:04 Bullet shot Cup (Швеция) MBK  - (Чехия) Deqim</v>
      </c>
      <c r="V28" s="85" t="str">
        <f t="shared" si="11"/>
        <v>2:2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0.25555555555555554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MBK</v>
      </c>
      <c r="F29" s="124" t="str">
        <f t="shared" si="20"/>
        <v>Deqim</v>
      </c>
      <c r="G29" s="113">
        <f t="shared" si="8"/>
        <v>1</v>
      </c>
      <c r="H29" s="115"/>
      <c r="I29" s="113">
        <f t="shared" si="21"/>
        <v>1</v>
      </c>
      <c r="J29" s="115"/>
      <c r="K29" s="115">
        <v>1.0</v>
      </c>
      <c r="L29" s="115">
        <v>1.0</v>
      </c>
      <c r="M29" s="89"/>
      <c r="N29" s="89"/>
      <c r="O29" s="89"/>
      <c r="P29" s="89"/>
      <c r="Q29" s="89"/>
      <c r="R29" s="89"/>
      <c r="S29" s="89"/>
      <c r="T29" s="136">
        <v>87.0</v>
      </c>
      <c r="U29" s="122" t="str">
        <f t="shared" si="10"/>
        <v>6:08 Bullet shot Cup (Швеция) MBK  - (Чехия) Deqim</v>
      </c>
      <c r="V29" s="85" t="str">
        <f t="shared" si="11"/>
        <v>1:1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0.25833333333333336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MBK</v>
      </c>
      <c r="F30" s="115" t="str">
        <f t="shared" ref="F30:F35" si="25">$E$5</f>
        <v>rio2k</v>
      </c>
      <c r="G30" s="113">
        <f t="shared" si="8"/>
        <v>2</v>
      </c>
      <c r="H30" s="115"/>
      <c r="I30" s="113">
        <f t="shared" si="21"/>
        <v>3</v>
      </c>
      <c r="J30" s="115"/>
      <c r="K30" s="118">
        <v>2.0</v>
      </c>
      <c r="L30" s="120">
        <v>3.0</v>
      </c>
      <c r="M30" s="89"/>
      <c r="N30" s="89"/>
      <c r="O30" s="89"/>
      <c r="P30" s="89"/>
      <c r="Q30" s="89"/>
      <c r="R30" s="89"/>
      <c r="S30" s="89"/>
      <c r="T30" s="136">
        <v>88.0</v>
      </c>
      <c r="U30" s="122" t="str">
        <f t="shared" si="10"/>
        <v>6:12 Bullet shot Cup (Швеция) MBK  - (Финляндия) rio2k</v>
      </c>
      <c r="V30" s="85" t="str">
        <f t="shared" si="11"/>
        <v>2:3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0.2611111111111111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MBK</v>
      </c>
      <c r="F31" s="115" t="str">
        <f t="shared" si="25"/>
        <v>rio2k</v>
      </c>
      <c r="G31" s="113">
        <f t="shared" si="8"/>
        <v>2</v>
      </c>
      <c r="H31" s="115"/>
      <c r="I31" s="113">
        <f t="shared" ref="I31:I35" si="26">SUM(L31,O31)</f>
        <v>0</v>
      </c>
      <c r="J31" s="115"/>
      <c r="K31" s="119">
        <v>2.0</v>
      </c>
      <c r="L31" s="123">
        <v>0.0</v>
      </c>
      <c r="M31" s="89"/>
      <c r="N31" s="89"/>
      <c r="O31" s="89"/>
      <c r="P31" s="89"/>
      <c r="Q31" s="89"/>
      <c r="R31" s="89"/>
      <c r="S31" s="89"/>
      <c r="T31" s="136">
        <v>89.0</v>
      </c>
      <c r="U31" s="122" t="str">
        <f t="shared" si="10"/>
        <v>6:16 Bullet shot Cup (Швеция) MBK  - (Финляндия) rio2k</v>
      </c>
      <c r="V31" s="85" t="str">
        <f t="shared" si="11"/>
        <v>2:0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0.2638888888888889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MBK</v>
      </c>
      <c r="F32" s="115" t="str">
        <f t="shared" si="25"/>
        <v>rio2k</v>
      </c>
      <c r="G32" s="113">
        <f t="shared" si="8"/>
        <v>2</v>
      </c>
      <c r="H32" s="115"/>
      <c r="I32" s="113">
        <f t="shared" si="26"/>
        <v>0</v>
      </c>
      <c r="J32" s="115"/>
      <c r="K32" s="119">
        <v>2.0</v>
      </c>
      <c r="L32" s="123">
        <v>0.0</v>
      </c>
      <c r="M32" s="89"/>
      <c r="N32" s="89"/>
      <c r="O32" s="89"/>
      <c r="P32" s="89"/>
      <c r="Q32" s="89"/>
      <c r="R32" s="89"/>
      <c r="S32" s="89"/>
      <c r="T32" s="136">
        <v>90.0</v>
      </c>
      <c r="U32" s="122" t="str">
        <f t="shared" si="10"/>
        <v>6:20 Bullet shot Cup (Швеция) MBK  - (Финляндия) rio2k</v>
      </c>
      <c r="V32" s="85" t="str">
        <f t="shared" si="11"/>
        <v>2:0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0.26666666666666666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Deqim</v>
      </c>
      <c r="F33" s="115" t="str">
        <f t="shared" si="25"/>
        <v>rio2k</v>
      </c>
      <c r="G33" s="113">
        <f t="shared" si="8"/>
        <v>1</v>
      </c>
      <c r="H33" s="115"/>
      <c r="I33" s="113">
        <f t="shared" si="26"/>
        <v>0</v>
      </c>
      <c r="J33" s="115"/>
      <c r="K33" s="119">
        <v>1.0</v>
      </c>
      <c r="L33" s="123">
        <v>0.0</v>
      </c>
      <c r="M33" s="89"/>
      <c r="N33" s="89"/>
      <c r="O33" s="89"/>
      <c r="P33" s="89"/>
      <c r="Q33" s="89"/>
      <c r="R33" s="89"/>
      <c r="S33" s="89"/>
      <c r="T33" s="136">
        <v>91.0</v>
      </c>
      <c r="U33" s="122" t="str">
        <f t="shared" si="10"/>
        <v>6:24 Bullet shot Cup (Чехия) Deqim  - (Финляндия) rio2k</v>
      </c>
      <c r="V33" s="85" t="str">
        <f t="shared" si="11"/>
        <v>1:0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0.26944444444444443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Deqim</v>
      </c>
      <c r="F34" s="115" t="str">
        <f t="shared" si="25"/>
        <v>rio2k</v>
      </c>
      <c r="G34" s="113">
        <f t="shared" si="8"/>
        <v>2</v>
      </c>
      <c r="H34" s="115"/>
      <c r="I34" s="113">
        <f t="shared" si="26"/>
        <v>2</v>
      </c>
      <c r="J34" s="115"/>
      <c r="K34" s="119">
        <v>2.0</v>
      </c>
      <c r="L34" s="123">
        <v>2.0</v>
      </c>
      <c r="M34" s="89"/>
      <c r="N34" s="89"/>
      <c r="O34" s="89"/>
      <c r="P34" s="89"/>
      <c r="Q34" s="89"/>
      <c r="R34" s="89"/>
      <c r="S34" s="89"/>
      <c r="T34" s="136">
        <v>92.0</v>
      </c>
      <c r="U34" s="122" t="str">
        <f t="shared" si="10"/>
        <v>6:28 Bullet shot Cup (Чехия) Deqim  - (Финляндия) rio2k</v>
      </c>
      <c r="V34" s="85" t="str">
        <f t="shared" si="11"/>
        <v>2:2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0.2722222222222222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Deqim</v>
      </c>
      <c r="F35" s="115" t="str">
        <f t="shared" si="25"/>
        <v>rio2k</v>
      </c>
      <c r="G35" s="113">
        <f t="shared" si="8"/>
        <v>1</v>
      </c>
      <c r="H35" s="115"/>
      <c r="I35" s="113">
        <f t="shared" si="26"/>
        <v>0</v>
      </c>
      <c r="J35" s="115"/>
      <c r="K35" s="115">
        <v>1.0</v>
      </c>
      <c r="L35" s="115">
        <v>0.0</v>
      </c>
      <c r="M35" s="89"/>
      <c r="N35" s="89"/>
      <c r="O35" s="89"/>
      <c r="P35" s="89"/>
      <c r="Q35" s="89"/>
      <c r="R35" s="89"/>
      <c r="S35" s="89"/>
      <c r="T35" s="136">
        <v>93.0</v>
      </c>
      <c r="U35" s="122" t="str">
        <f t="shared" si="10"/>
        <v>6:32 Bullet shot Cup (Чехия) Deqim  - (Финляндия) rio2k</v>
      </c>
      <c r="V35" s="85" t="str">
        <f t="shared" si="11"/>
        <v>1:0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0.275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Deqim</v>
      </c>
      <c r="F36" s="115" t="str">
        <f t="shared" ref="F36:F41" si="30">$E$4</f>
        <v>MBK</v>
      </c>
      <c r="G36" s="113">
        <f t="shared" si="8"/>
        <v>2</v>
      </c>
      <c r="H36" s="115"/>
      <c r="I36" s="113">
        <f t="shared" ref="I36:I42" si="31">SUM(L36)</f>
        <v>3</v>
      </c>
      <c r="J36" s="115"/>
      <c r="K36" s="118">
        <v>2.0</v>
      </c>
      <c r="L36" s="120">
        <v>3.0</v>
      </c>
      <c r="M36" s="89"/>
      <c r="N36" s="89"/>
      <c r="O36" s="89"/>
      <c r="P36" s="89"/>
      <c r="Q36" s="89"/>
      <c r="R36" s="89"/>
      <c r="S36" s="89"/>
      <c r="T36" s="136">
        <v>94.0</v>
      </c>
      <c r="U36" s="122" t="str">
        <f t="shared" si="10"/>
        <v>6:36 Bullet shot Cup (Чехия) Deqim  - (Швеция) MBK</v>
      </c>
      <c r="V36" s="85" t="str">
        <f t="shared" si="11"/>
        <v>2:3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0.2777777777777778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Deqim</v>
      </c>
      <c r="F37" s="115" t="str">
        <f t="shared" si="30"/>
        <v>MBK</v>
      </c>
      <c r="G37" s="113">
        <f t="shared" si="8"/>
        <v>0</v>
      </c>
      <c r="H37" s="115"/>
      <c r="I37" s="113">
        <f t="shared" si="31"/>
        <v>2</v>
      </c>
      <c r="J37" s="115"/>
      <c r="K37" s="119">
        <v>0.0</v>
      </c>
      <c r="L37" s="123">
        <v>2.0</v>
      </c>
      <c r="M37" s="89"/>
      <c r="N37" s="89"/>
      <c r="O37" s="89"/>
      <c r="P37" s="89"/>
      <c r="Q37" s="89"/>
      <c r="R37" s="89"/>
      <c r="S37" s="89"/>
      <c r="T37" s="136">
        <v>95.0</v>
      </c>
      <c r="U37" s="122" t="str">
        <f t="shared" si="10"/>
        <v>6:40 Bullet shot Cup (Чехия) Deqim  - (Швеция) MBK</v>
      </c>
      <c r="V37" s="85" t="str">
        <f t="shared" si="11"/>
        <v>0:2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0.28055555555555556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Deqim</v>
      </c>
      <c r="F38" s="115" t="str">
        <f t="shared" si="30"/>
        <v>MBK</v>
      </c>
      <c r="G38" s="113">
        <f t="shared" si="8"/>
        <v>2</v>
      </c>
      <c r="H38" s="115"/>
      <c r="I38" s="113">
        <f t="shared" si="31"/>
        <v>0</v>
      </c>
      <c r="J38" s="115"/>
      <c r="K38" s="119">
        <v>2.0</v>
      </c>
      <c r="L38" s="123">
        <v>0.0</v>
      </c>
      <c r="M38" s="89"/>
      <c r="N38" s="89"/>
      <c r="O38" s="89"/>
      <c r="P38" s="89"/>
      <c r="Q38" s="89"/>
      <c r="R38" s="89"/>
      <c r="S38" s="89"/>
      <c r="T38" s="136">
        <v>96.0</v>
      </c>
      <c r="U38" s="122" t="str">
        <f t="shared" si="10"/>
        <v>6:44 Bullet shot Cup (Чехия) Deqim  - (Швеция) MBK</v>
      </c>
      <c r="V38" s="85" t="str">
        <f t="shared" si="11"/>
        <v>2:0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0.2833333333333333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rio2k</v>
      </c>
      <c r="F39" s="115" t="str">
        <f t="shared" si="30"/>
        <v>MBK</v>
      </c>
      <c r="G39" s="113">
        <f t="shared" si="8"/>
        <v>1</v>
      </c>
      <c r="H39" s="115"/>
      <c r="I39" s="113">
        <f t="shared" si="31"/>
        <v>2</v>
      </c>
      <c r="J39" s="115"/>
      <c r="K39" s="119">
        <v>1.0</v>
      </c>
      <c r="L39" s="123">
        <v>2.0</v>
      </c>
      <c r="M39" s="89"/>
      <c r="N39" s="89"/>
      <c r="O39" s="89"/>
      <c r="P39" s="89"/>
      <c r="Q39" s="89"/>
      <c r="R39" s="89"/>
      <c r="S39" s="89"/>
      <c r="T39" s="136">
        <v>97.0</v>
      </c>
      <c r="U39" s="122" t="str">
        <f t="shared" si="10"/>
        <v>6:48 Bullet shot Cup (Финляндия) rio2k  - (Швеция) MBK</v>
      </c>
      <c r="V39" s="85" t="str">
        <f t="shared" si="11"/>
        <v>1:2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0.2861111111111111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rio2k</v>
      </c>
      <c r="F40" s="115" t="str">
        <f t="shared" si="30"/>
        <v>MBK</v>
      </c>
      <c r="G40" s="113">
        <f t="shared" si="8"/>
        <v>1</v>
      </c>
      <c r="H40" s="115"/>
      <c r="I40" s="113">
        <f t="shared" si="31"/>
        <v>1</v>
      </c>
      <c r="J40" s="115"/>
      <c r="K40" s="119">
        <v>1.0</v>
      </c>
      <c r="L40" s="123">
        <v>1.0</v>
      </c>
      <c r="M40" s="89"/>
      <c r="N40" s="89"/>
      <c r="O40" s="89"/>
      <c r="P40" s="89"/>
      <c r="Q40" s="89"/>
      <c r="R40" s="89"/>
      <c r="S40" s="89"/>
      <c r="T40" s="136">
        <v>98.0</v>
      </c>
      <c r="U40" s="122" t="str">
        <f t="shared" si="10"/>
        <v>6:52 Bullet shot Cup (Финляндия) rio2k  - (Швеция) MBK</v>
      </c>
      <c r="V40" s="85" t="str">
        <f t="shared" si="11"/>
        <v>1:1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0.28888888888888886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rio2k</v>
      </c>
      <c r="F41" s="115" t="str">
        <f t="shared" si="30"/>
        <v>MBK</v>
      </c>
      <c r="G41" s="113">
        <f t="shared" si="8"/>
        <v>2</v>
      </c>
      <c r="H41" s="115"/>
      <c r="I41" s="113">
        <f t="shared" si="31"/>
        <v>1</v>
      </c>
      <c r="J41" s="115"/>
      <c r="K41" s="115">
        <v>2.0</v>
      </c>
      <c r="L41" s="115">
        <v>1.0</v>
      </c>
      <c r="M41" s="89"/>
      <c r="N41" s="89"/>
      <c r="O41" s="89"/>
      <c r="P41" s="89"/>
      <c r="Q41" s="89"/>
      <c r="R41" s="89"/>
      <c r="S41" s="89"/>
      <c r="T41" s="136">
        <v>99.0</v>
      </c>
      <c r="U41" s="122" t="str">
        <f t="shared" si="10"/>
        <v>6:56 Bullet shot Cup (Финляндия) rio2k  - (Швеция) MBK</v>
      </c>
      <c r="V41" s="85" t="str">
        <f t="shared" si="11"/>
        <v>2:1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0.2916666666666667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rio2k</v>
      </c>
      <c r="F42" s="115" t="str">
        <f t="shared" ref="F42:F47" si="35">$E$6</f>
        <v>Deqim</v>
      </c>
      <c r="G42" s="113">
        <f t="shared" si="8"/>
        <v>1</v>
      </c>
      <c r="H42" s="115"/>
      <c r="I42" s="113">
        <f t="shared" si="31"/>
        <v>2</v>
      </c>
      <c r="J42" s="115"/>
      <c r="K42" s="118">
        <v>1.0</v>
      </c>
      <c r="L42" s="120">
        <v>2.0</v>
      </c>
      <c r="M42" s="89"/>
      <c r="N42" s="89"/>
      <c r="O42" s="89"/>
      <c r="P42" s="89"/>
      <c r="Q42" s="89"/>
      <c r="R42" s="89"/>
      <c r="S42" s="89"/>
      <c r="T42" s="136">
        <v>100.0</v>
      </c>
      <c r="U42" s="122" t="str">
        <f t="shared" si="10"/>
        <v>7:00 Bullet shot Cup (Финляндия) rio2k  - (Чехия) Deqim</v>
      </c>
      <c r="V42" s="85" t="str">
        <f t="shared" si="11"/>
        <v>1:2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0.29444444444444445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rio2k</v>
      </c>
      <c r="F43" s="115" t="str">
        <f t="shared" si="35"/>
        <v>Deqim</v>
      </c>
      <c r="G43" s="113">
        <f t="shared" si="8"/>
        <v>3</v>
      </c>
      <c r="H43" s="115"/>
      <c r="I43" s="113">
        <f t="shared" ref="I43:I47" si="36">SUM(L43,O43)</f>
        <v>1</v>
      </c>
      <c r="J43" s="115"/>
      <c r="K43" s="119">
        <v>3.0</v>
      </c>
      <c r="L43" s="123">
        <v>1.0</v>
      </c>
      <c r="M43" s="89"/>
      <c r="N43" s="89"/>
      <c r="O43" s="89"/>
      <c r="P43" s="89"/>
      <c r="Q43" s="89"/>
      <c r="R43" s="89"/>
      <c r="S43" s="89"/>
      <c r="T43" s="136">
        <v>101.0</v>
      </c>
      <c r="U43" s="122" t="str">
        <f t="shared" si="10"/>
        <v>7:04 Bullet shot Cup (Финляндия) rio2k  - (Чехия) Deqim</v>
      </c>
      <c r="V43" s="85" t="str">
        <f t="shared" si="11"/>
        <v>3:1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0.2972222222222222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rio2k</v>
      </c>
      <c r="F44" s="115" t="str">
        <f t="shared" si="35"/>
        <v>Deqim</v>
      </c>
      <c r="G44" s="113">
        <f t="shared" si="8"/>
        <v>2</v>
      </c>
      <c r="H44" s="115"/>
      <c r="I44" s="113">
        <f t="shared" si="36"/>
        <v>2</v>
      </c>
      <c r="J44" s="115"/>
      <c r="K44" s="119">
        <v>2.0</v>
      </c>
      <c r="L44" s="123">
        <v>2.0</v>
      </c>
      <c r="M44" s="89"/>
      <c r="N44" s="89"/>
      <c r="O44" s="89"/>
      <c r="P44" s="89"/>
      <c r="Q44" s="89"/>
      <c r="R44" s="89"/>
      <c r="S44" s="89"/>
      <c r="T44" s="136">
        <v>102.0</v>
      </c>
      <c r="U44" s="122" t="str">
        <f t="shared" si="10"/>
        <v>7:08 Bullet shot Cup (Финляндия) rio2k  - (Чехия) Deqim</v>
      </c>
      <c r="V44" s="85" t="str">
        <f t="shared" si="11"/>
        <v>2:2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0.3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MBK</v>
      </c>
      <c r="F45" s="115" t="str">
        <f t="shared" si="35"/>
        <v>Deqim</v>
      </c>
      <c r="G45" s="113">
        <f t="shared" si="8"/>
        <v>2</v>
      </c>
      <c r="H45" s="115"/>
      <c r="I45" s="113">
        <f t="shared" si="36"/>
        <v>1</v>
      </c>
      <c r="J45" s="115"/>
      <c r="K45" s="119">
        <v>2.0</v>
      </c>
      <c r="L45" s="123">
        <v>1.0</v>
      </c>
      <c r="M45" s="89"/>
      <c r="N45" s="89"/>
      <c r="O45" s="89"/>
      <c r="P45" s="89"/>
      <c r="Q45" s="89"/>
      <c r="R45" s="89"/>
      <c r="S45" s="89"/>
      <c r="T45" s="136">
        <v>103.0</v>
      </c>
      <c r="U45" s="122" t="str">
        <f t="shared" si="10"/>
        <v>7:12 Bullet shot Cup (Швеция) MBK  - (Чехия) Deqim</v>
      </c>
      <c r="V45" s="85" t="str">
        <f t="shared" si="11"/>
        <v>2:1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0.30277777777777776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MBK</v>
      </c>
      <c r="F46" s="115" t="str">
        <f t="shared" si="35"/>
        <v>Deqim</v>
      </c>
      <c r="G46" s="113">
        <f t="shared" si="8"/>
        <v>2</v>
      </c>
      <c r="H46" s="115"/>
      <c r="I46" s="113">
        <f t="shared" si="36"/>
        <v>1</v>
      </c>
      <c r="J46" s="115"/>
      <c r="K46" s="119">
        <v>2.0</v>
      </c>
      <c r="L46" s="123">
        <v>1.0</v>
      </c>
      <c r="M46" s="89"/>
      <c r="N46" s="89"/>
      <c r="O46" s="89"/>
      <c r="P46" s="89"/>
      <c r="Q46" s="89"/>
      <c r="R46" s="89"/>
      <c r="S46" s="89"/>
      <c r="T46" s="136">
        <v>104.0</v>
      </c>
      <c r="U46" s="122" t="str">
        <f t="shared" si="10"/>
        <v>7:16 Bullet shot Cup (Швеция) MBK  - (Чехия) Deqim</v>
      </c>
      <c r="V46" s="85" t="str">
        <f t="shared" si="11"/>
        <v>2:1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0.3055555555555556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MBK</v>
      </c>
      <c r="F47" s="115" t="str">
        <f t="shared" si="35"/>
        <v>Deqim</v>
      </c>
      <c r="G47" s="113">
        <f t="shared" si="8"/>
        <v>1</v>
      </c>
      <c r="H47" s="115"/>
      <c r="I47" s="113">
        <f t="shared" si="36"/>
        <v>2</v>
      </c>
      <c r="J47" s="115"/>
      <c r="K47" s="115">
        <v>1.0</v>
      </c>
      <c r="L47" s="115">
        <v>2.0</v>
      </c>
      <c r="M47" s="89"/>
      <c r="N47" s="89"/>
      <c r="O47" s="89"/>
      <c r="P47" s="89"/>
      <c r="Q47" s="89"/>
      <c r="R47" s="89"/>
      <c r="S47" s="89"/>
      <c r="T47" s="136">
        <v>105.0</v>
      </c>
      <c r="U47" s="122" t="str">
        <f t="shared" si="10"/>
        <v>7:20 Bullet shot Cup (Швеция) MBK  - (Чехия) Deqim</v>
      </c>
      <c r="V47" s="85" t="str">
        <f t="shared" si="11"/>
        <v>1:2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0.30833333333333335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MBK</v>
      </c>
      <c r="F48" s="115" t="str">
        <f t="shared" ref="F48:F53" si="40">$E$5</f>
        <v>rio2k</v>
      </c>
      <c r="G48" s="113">
        <f t="shared" si="8"/>
        <v>0</v>
      </c>
      <c r="H48" s="115"/>
      <c r="I48" s="113">
        <f>SUM(L48)</f>
        <v>2</v>
      </c>
      <c r="J48" s="115"/>
      <c r="K48" s="118">
        <v>0.0</v>
      </c>
      <c r="L48" s="120">
        <v>2.0</v>
      </c>
      <c r="M48" s="85"/>
      <c r="N48" s="85"/>
      <c r="O48" s="85"/>
      <c r="P48" s="85"/>
      <c r="Q48" s="85"/>
      <c r="R48" s="85"/>
      <c r="S48" s="85"/>
      <c r="T48" s="136">
        <v>106.0</v>
      </c>
      <c r="U48" s="122" t="str">
        <f t="shared" si="10"/>
        <v>7:24 Bullet shot Cup (Швеция) MBK  - (Финляндия) rio2k</v>
      </c>
      <c r="V48" s="85" t="str">
        <f t="shared" si="11"/>
        <v>0:2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0.3111111111111111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MBK</v>
      </c>
      <c r="F49" s="115" t="str">
        <f t="shared" si="40"/>
        <v>rio2k</v>
      </c>
      <c r="G49" s="113">
        <f t="shared" si="8"/>
        <v>1</v>
      </c>
      <c r="H49" s="115"/>
      <c r="I49" s="113">
        <f t="shared" ref="I49:I53" si="41">SUM(L49,O49)</f>
        <v>2</v>
      </c>
      <c r="J49" s="115"/>
      <c r="K49" s="119">
        <v>1.0</v>
      </c>
      <c r="L49" s="123">
        <v>2.0</v>
      </c>
      <c r="M49" s="85"/>
      <c r="N49" s="85"/>
      <c r="O49" s="85"/>
      <c r="P49" s="85"/>
      <c r="Q49" s="85"/>
      <c r="R49" s="85"/>
      <c r="S49" s="85"/>
      <c r="T49" s="136">
        <v>107.0</v>
      </c>
      <c r="U49" s="122" t="str">
        <f t="shared" si="10"/>
        <v>7:28 Bullet shot Cup (Швеция) MBK  - (Финляндия) rio2k</v>
      </c>
      <c r="V49" s="85" t="str">
        <f t="shared" si="11"/>
        <v>1:2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0.3138888888888889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MBK</v>
      </c>
      <c r="F50" s="115" t="str">
        <f t="shared" si="40"/>
        <v>rio2k</v>
      </c>
      <c r="G50" s="113">
        <f t="shared" si="8"/>
        <v>0</v>
      </c>
      <c r="H50" s="115"/>
      <c r="I50" s="113">
        <f t="shared" si="41"/>
        <v>1</v>
      </c>
      <c r="J50" s="115"/>
      <c r="K50" s="119">
        <v>0.0</v>
      </c>
      <c r="L50" s="123">
        <v>1.0</v>
      </c>
      <c r="M50" s="85"/>
      <c r="N50" s="85"/>
      <c r="O50" s="85"/>
      <c r="P50" s="85"/>
      <c r="Q50" s="85"/>
      <c r="R50" s="85"/>
      <c r="S50" s="85"/>
      <c r="T50" s="136">
        <v>108.0</v>
      </c>
      <c r="U50" s="122" t="str">
        <f t="shared" si="10"/>
        <v>7:32 Bullet shot Cup (Швеция) MBK  - (Финляндия) rio2k</v>
      </c>
      <c r="V50" s="85" t="str">
        <f t="shared" si="11"/>
        <v>0:1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0.31666666666666665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Deqim</v>
      </c>
      <c r="F51" s="115" t="str">
        <f t="shared" si="40"/>
        <v>rio2k</v>
      </c>
      <c r="G51" s="113">
        <f t="shared" si="8"/>
        <v>1</v>
      </c>
      <c r="H51" s="115"/>
      <c r="I51" s="113">
        <f t="shared" si="41"/>
        <v>1</v>
      </c>
      <c r="J51" s="115"/>
      <c r="K51" s="119">
        <v>1.0</v>
      </c>
      <c r="L51" s="123">
        <v>1.0</v>
      </c>
      <c r="M51" s="85"/>
      <c r="N51" s="85"/>
      <c r="O51" s="85"/>
      <c r="P51" s="85"/>
      <c r="Q51" s="85"/>
      <c r="R51" s="85"/>
      <c r="S51" s="85"/>
      <c r="T51" s="136">
        <v>109.0</v>
      </c>
      <c r="U51" s="122" t="str">
        <f t="shared" si="10"/>
        <v>7:36 Bullet shot Cup (Чехия) Deqim  - (Финляндия) rio2k</v>
      </c>
      <c r="V51" s="85" t="str">
        <f t="shared" si="11"/>
        <v>1:1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0.3194444444444444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Deqim</v>
      </c>
      <c r="F52" s="115" t="str">
        <f t="shared" si="40"/>
        <v>rio2k</v>
      </c>
      <c r="G52" s="113">
        <f t="shared" si="8"/>
        <v>3</v>
      </c>
      <c r="H52" s="115"/>
      <c r="I52" s="113">
        <f t="shared" si="41"/>
        <v>2</v>
      </c>
      <c r="J52" s="115"/>
      <c r="K52" s="119">
        <v>3.0</v>
      </c>
      <c r="L52" s="123">
        <v>2.0</v>
      </c>
      <c r="M52" s="85"/>
      <c r="N52" s="85"/>
      <c r="O52" s="85"/>
      <c r="P52" s="85"/>
      <c r="Q52" s="85"/>
      <c r="R52" s="85"/>
      <c r="S52" s="85"/>
      <c r="T52" s="136">
        <v>110.0</v>
      </c>
      <c r="U52" s="122" t="str">
        <f t="shared" si="10"/>
        <v>7:40 Bullet shot Cup (Чехия) Deqim  - (Финляндия) rio2k</v>
      </c>
      <c r="V52" s="85" t="str">
        <f t="shared" si="11"/>
        <v>3:2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0.32222222222222224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Deqim</v>
      </c>
      <c r="F53" s="115" t="str">
        <f t="shared" si="40"/>
        <v>rio2k</v>
      </c>
      <c r="G53" s="113">
        <f t="shared" si="8"/>
        <v>1</v>
      </c>
      <c r="H53" s="115"/>
      <c r="I53" s="113">
        <f t="shared" si="41"/>
        <v>1</v>
      </c>
      <c r="J53" s="115"/>
      <c r="K53" s="115">
        <v>1.0</v>
      </c>
      <c r="L53" s="115">
        <v>1.0</v>
      </c>
      <c r="M53" s="85"/>
      <c r="N53" s="85"/>
      <c r="O53" s="85"/>
      <c r="P53" s="85"/>
      <c r="Q53" s="85"/>
      <c r="R53" s="85"/>
      <c r="S53" s="85"/>
      <c r="T53" s="136">
        <v>111.0</v>
      </c>
      <c r="U53" s="122" t="str">
        <f t="shared" si="10"/>
        <v>7:44 Bullet shot Cup (Чехия) Deqim  - (Финляндия) rio2k</v>
      </c>
      <c r="V53" s="85" t="str">
        <f t="shared" si="11"/>
        <v>1:1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0.325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Deqim</v>
      </c>
      <c r="F54" s="115" t="str">
        <f t="shared" ref="F54:F56" si="45">$E$4</f>
        <v>MBK</v>
      </c>
      <c r="G54" s="113">
        <f t="shared" si="8"/>
        <v>1</v>
      </c>
      <c r="H54" s="115"/>
      <c r="I54" s="113">
        <f t="shared" ref="I54:I56" si="46">SUM(L54)</f>
        <v>0</v>
      </c>
      <c r="J54" s="115"/>
      <c r="K54" s="118">
        <v>1.0</v>
      </c>
      <c r="L54" s="120">
        <v>0.0</v>
      </c>
      <c r="M54" s="85"/>
      <c r="N54" s="85"/>
      <c r="O54" s="85"/>
      <c r="P54" s="85"/>
      <c r="Q54" s="85"/>
      <c r="R54" s="85"/>
      <c r="S54" s="85"/>
      <c r="T54" s="136">
        <v>112.0</v>
      </c>
      <c r="U54" s="122" t="str">
        <f t="shared" si="10"/>
        <v>7:48 Bullet shot Cup (Чехия) Deqim  - (Швеция) MBK</v>
      </c>
      <c r="V54" s="85" t="str">
        <f t="shared" si="11"/>
        <v>1:0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0.3277777777777778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Deqim</v>
      </c>
      <c r="F55" s="115" t="str">
        <f t="shared" si="45"/>
        <v>MBK</v>
      </c>
      <c r="G55" s="113">
        <f t="shared" si="8"/>
        <v>1</v>
      </c>
      <c r="H55" s="115"/>
      <c r="I55" s="113">
        <f t="shared" si="46"/>
        <v>2</v>
      </c>
      <c r="J55" s="115"/>
      <c r="K55" s="119">
        <v>1.0</v>
      </c>
      <c r="L55" s="123">
        <v>2.0</v>
      </c>
      <c r="M55" s="85"/>
      <c r="N55" s="85"/>
      <c r="O55" s="85"/>
      <c r="P55" s="85"/>
      <c r="Q55" s="85"/>
      <c r="R55" s="85"/>
      <c r="S55" s="85"/>
      <c r="T55" s="136">
        <v>113.0</v>
      </c>
      <c r="U55" s="122" t="str">
        <f t="shared" si="10"/>
        <v>7:52 Bullet shot Cup (Чехия) Deqim  - (Швеция) MBK</v>
      </c>
      <c r="V55" s="85" t="str">
        <f t="shared" si="11"/>
        <v>1:2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0.33055555555555555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Deqim</v>
      </c>
      <c r="F56" s="115" t="str">
        <f t="shared" si="45"/>
        <v>MBK</v>
      </c>
      <c r="G56" s="113">
        <f t="shared" si="8"/>
        <v>1</v>
      </c>
      <c r="H56" s="115"/>
      <c r="I56" s="113">
        <f t="shared" si="46"/>
        <v>1</v>
      </c>
      <c r="J56" s="115"/>
      <c r="K56" s="119">
        <v>1.0</v>
      </c>
      <c r="L56" s="123">
        <v>1.0</v>
      </c>
      <c r="M56" s="85"/>
      <c r="N56" s="85"/>
      <c r="O56" s="85"/>
      <c r="P56" s="85"/>
      <c r="Q56" s="85"/>
      <c r="R56" s="85"/>
      <c r="S56" s="85"/>
      <c r="T56" s="136">
        <v>114.0</v>
      </c>
      <c r="U56" s="122" t="str">
        <f t="shared" si="10"/>
        <v>7:56 Bullet shot Cup (Чехия) Deqim  - (Швеция) MBK</v>
      </c>
      <c r="V56" s="85" t="str">
        <f t="shared" si="11"/>
        <v>1:1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136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136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136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136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136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136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136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136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136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136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136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136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136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136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136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136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136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136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136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136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136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136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136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136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136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136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136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136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136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136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136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136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136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136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136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136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136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136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136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136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136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136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136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136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136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136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136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136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136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136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136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136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136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136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136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136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136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136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136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136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136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136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136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136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136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136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136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136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136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136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136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136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136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136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136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136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136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136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136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136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136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136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136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136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136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136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136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136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136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136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136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136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136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136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136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136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136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136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136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136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136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136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136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136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136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136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136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136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136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136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136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136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136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136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136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136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136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136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136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136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136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136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136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136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136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136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136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136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136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136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136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136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136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136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136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136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136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136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136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136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136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136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136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136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136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136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136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136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136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136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136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136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136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136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136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136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136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136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136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136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136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136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136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136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136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136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136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136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136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136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7" t="s">
        <v>71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>
      <c r="A2" s="138" t="s">
        <v>72</v>
      </c>
      <c r="B2" s="139">
        <v>3.0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>
      <c r="A3" s="139" t="s">
        <v>73</v>
      </c>
      <c r="B3" s="139">
        <v>1.0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>
      <c r="A4" s="139" t="s">
        <v>74</v>
      </c>
      <c r="B4" s="139">
        <v>0.0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ht="15.75" customHeight="1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ht="15.75" customHeight="1">
      <c r="A22" s="85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ht="15.75" customHeight="1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ht="15.75" customHeight="1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ht="15.75" customHeight="1">
      <c r="A25" s="85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ht="15.75" customHeight="1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ht="15.75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ht="15.75" customHeight="1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ht="15.75" customHeight="1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ht="15.75" customHeight="1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ht="15.75" customHeight="1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ht="15.75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ht="15.75" customHeight="1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ht="15.75" customHeight="1">
      <c r="A34" s="85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ht="15.75" customHeight="1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ht="15.75" customHeight="1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ht="15.75" customHeight="1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ht="15.75" customHeight="1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ht="15.75" customHeight="1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ht="15.75" customHeight="1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</row>
    <row r="41" ht="15.75" customHeight="1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</row>
    <row r="42" ht="15.75" customHeight="1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</row>
    <row r="43" ht="15.75" customHeight="1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</row>
    <row r="44" ht="15.75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ht="15.75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ht="15.75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ht="15.75" customHeight="1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ht="15.75" customHeight="1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ht="15.75" customHeight="1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ht="15.75" customHeight="1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ht="15.75" customHeight="1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ht="15.75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ht="15.75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ht="15.75" customHeight="1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ht="15.75" customHeight="1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ht="15.75" customHeight="1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ht="15.75" customHeight="1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