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<sst xmlns="http://schemas.openxmlformats.org/spreadsheetml/2006/main" count="368" uniqueCount="75">
  <si>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</si>
  <si>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</si>
  <si>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</si>
  <si>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</si>
  <si>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</si>
  <si>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</si>
  <si>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</si>
  <si>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</si>
  <si>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</si>
  <si>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</si>
  <si>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</si>
  <si>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</si>
  <si>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</si>
  <si>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</si>
  <si>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</si>
  <si>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</si>
  <si>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</si>
  <si>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</si>
  <si>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</si>
  <si>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</si>
  <si>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</si>
  <si>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</si>
  <si>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</si>
  <si>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</si>
  <si>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Юрий Б. </t>
  </si>
  <si>
    <t>Канада</t>
  </si>
  <si>
    <t>Warrior</t>
  </si>
  <si>
    <t xml:space="preserve">Илья Я. </t>
  </si>
  <si>
    <t>США</t>
  </si>
  <si>
    <t>Deqim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</si>
  <si>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</si>
  <si>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</si>
  <si>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</si>
  <si>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</si>
  <si>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</si>
  <si>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</si>
  <si>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</si>
  <si>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</si>
  <si>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</si>
  <si>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</si>
  <si>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</si>
  <si>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</si>
  <si>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</si>
  <si>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</si>
  <si>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</si>
  <si>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</si>
  <si>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</si>
  <si>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</si>
  <si>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</si>
  <si>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</si>
  <si>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</si>
  <si>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</si>
  <si>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Вильдан А. </t>
  </si>
  <si>
    <t>Швейцария</t>
  </si>
  <si>
    <t>AVTOMAT</t>
  </si>
  <si>
    <t>Евгений Б.</t>
  </si>
  <si>
    <t>Handzus</t>
  </si>
  <si>
    <t>Адис А.</t>
  </si>
  <si>
    <t>Adisey95</t>
  </si>
  <si>
    <t>ТУР4</t>
  </si>
  <si>
    <t>-</t>
  </si>
  <si>
    <t>ТУР5</t>
  </si>
  <si>
    <t>ТУР6</t>
  </si>
  <si>
    <t xml:space="preserve">Руслан С. </t>
  </si>
  <si>
    <t>rio2k</t>
  </si>
  <si>
    <t>Тимур А.</t>
  </si>
  <si>
    <t>mace</t>
  </si>
  <si>
    <t>Дмитрий П.</t>
  </si>
  <si>
    <t>MBK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</si>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</sst>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0" fontId="2" numFmtId="164" xfId="0" applyAlignment="1" applyFont="1" applyNumberFormat="1">
      <alignment horizontal="center" vertical="bottom"/>
    </xf>
    <xf borderId="6" fillId="3" fontId="14" numFmtId="164" xfId="0" applyAlignment="1" applyBorder="1" applyFont="1" applyNumberFormat="1">
      <alignment vertical="bottom"/>
    </xf>
    <xf borderId="6" fillId="0" fontId="18" numFmtId="164" xfId="0" applyAlignment="1" applyBorder="1" applyFont="1" applyNumberFormat="1">
      <alignment vertical="bottom"/>
    </xf>
    <xf borderId="0" fillId="0" fontId="23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7</v>
      </c>
      <c r="AI3" s="22">
        <f t="array" ref="AI3">SUM(('ТУР1'!home=AF3)*(homescore=visitorscore)*ISNUMBER(visitorscore),(visitor=AF3)*(visitorscore=homescore)*ISNUMBER(homescore))</f>
        <v>13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40</v>
      </c>
      <c r="AM3" s="27">
        <f t="shared" ref="AM3:AM5" si="2">AK3-AL3</f>
        <v>1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3400010041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45</v>
      </c>
      <c r="AA4" s="20">
        <f t="array" ref="AA4">VLOOKUP($U4,$AF$3:$AN$5,7,0)</f>
        <v>39</v>
      </c>
      <c r="AB4" s="20">
        <f t="array" ref="AB4">VLOOKUP($U4,$AF$3:$AN$5,8,0)</f>
        <v>6</v>
      </c>
      <c r="AC4" s="20">
        <f t="array" ref="AC4">VLOOKUP($U4,$AF$3:$AN$5,9,0)</f>
        <v>44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6</v>
      </c>
      <c r="AK4" s="22">
        <f t="array" ref="AK4">SUMIF('ТУР1'!home,AF4,homescore)+SUMIF(visitor,AF4,visitorscore)</f>
        <v>45</v>
      </c>
      <c r="AL4" s="27">
        <f t="array" ref="AL4">SUMIF('ТУР1'!home,AF4,visitorscore)+SUMIF(visitor,AF4,homescore)</f>
        <v>39</v>
      </c>
      <c r="AM4" s="27">
        <f t="shared" si="2"/>
        <v>6</v>
      </c>
      <c r="AN4" s="22">
        <f t="array" ref="AN4">AH4*Options!$B$2+AI4*Options!$B$3+AJ4*Options!$B$4+VLOOKUP(AF4,$E$4:$F$8,2,0)</f>
        <v>44</v>
      </c>
      <c r="AO4" s="28">
        <f t="shared" si="3"/>
        <v>4400060045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41</v>
      </c>
      <c r="AA5" s="20">
        <f t="array" ref="AA5">VLOOKUP($U5,$AF$3:$AN$5,7,0)</f>
        <v>40</v>
      </c>
      <c r="AB5" s="20">
        <f t="array" ref="AB5">VLOOKUP($U5,$AF$3:$AN$5,8,0)</f>
        <v>1</v>
      </c>
      <c r="AC5" s="20">
        <f t="array" ref="AC5">VLOOKUP($U5,$AF$3:$AN$5,9,0)</f>
        <v>34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42</v>
      </c>
      <c r="AM5" s="27">
        <f t="shared" si="2"/>
        <v>-7</v>
      </c>
      <c r="AN5" s="22">
        <f t="array" ref="AN5">AH5*Options!$B$2+AI5*Options!$B$3+AJ5*Options!$B$4+VLOOKUP(AF5,$E$4:$F$8,2,0)</f>
        <v>31</v>
      </c>
      <c r="AO5" s="28">
        <f t="shared" si="3"/>
        <v>3099930035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42</v>
      </c>
      <c r="AB6" s="20">
        <f t="array" ref="AB6">VLOOKUP($U6,$AF$3:$AN$5,8,0)</f>
        <v>-7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Warrior  - (США)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Warrior  - (США) Deqim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Warrior  - (США) Deqim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Deqim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Deqim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Deqim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Deqim</v>
      </c>
      <c r="V17" s="12" t="str">
        <f t="shared" si="11"/>
        <v>2:2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Warrior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Warrior</v>
      </c>
      <c r="V19" s="12" t="str">
        <f t="shared" si="11"/>
        <v>2:1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Warrior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Deqim  - (Канада) Warrior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Deqim  - (Канада)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Deqim  - (Канада) Warrior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Deqim  - (Швеция) Djack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Deqim  - (Швеция)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Djack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Deqim  - (Швеция)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Warrior  - (Швеция) Djack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Warrior  - (Швеция)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Warrior  - (Швеция)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Warrior  - (США) Deqim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Warrior  - (США) Deqim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0</v>
      </c>
      <c r="J32" s="19"/>
      <c r="K32" s="47">
        <v>0.0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Warrior  - (США) Deqim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Deqim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Deqim</v>
      </c>
      <c r="G34" s="40">
        <f t="shared" si="8"/>
        <v>3</v>
      </c>
      <c r="H34" s="19"/>
      <c r="I34" s="40">
        <f t="shared" si="26"/>
        <v>3</v>
      </c>
      <c r="J34" s="19"/>
      <c r="K34" s="47">
        <v>3.0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Deqim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Warrior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Deqim  - (Канада) Warrior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Deqim  - (Канада)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Warrior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Deqim  - (Канада) Warrior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Djack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Deqim  - (Швеция) Djack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Deqim  - (Швеция)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Deqim  - (Швеция) Djack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Warrior  - (Швеция)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Warrior  - (Швеция) Djack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Warrior  - (Швеция)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Warrior  - (США) Deqim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Deqim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Warrior  - (США) Deqim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Deqim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Deqim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Deqim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Warrior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48</v>
      </c>
      <c r="AL3" s="27">
        <f t="array" ref="AL3">SUMIF('ТУР1'!home,AF3,'ТУР2'!visitorscore)+SUMIF('ТУР2'!visitor,AF3,'ТУР2'!homescore)</f>
        <v>33</v>
      </c>
      <c r="AM3" s="27">
        <f t="shared" ref="AM3:AM5" si="2">AK3-AL3</f>
        <v>15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5000150048</v>
      </c>
    </row>
    <row r="4">
      <c r="A4" s="12"/>
      <c r="B4" s="12"/>
      <c r="C4" s="60" t="str">
        <f>'ТУР1'!$C$4</f>
        <v>Юрий Б. </v>
      </c>
      <c r="D4" s="61" t="s">
        <v>46</v>
      </c>
      <c r="E4" s="60" t="str">
        <f>'ТУР1'!$E$4</f>
        <v>Warrior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48</v>
      </c>
      <c r="AA4" s="20">
        <f t="array" ref="AA4">VLOOKUP($U4,$AF$3:$AN$5,7,0)</f>
        <v>33</v>
      </c>
      <c r="AB4" s="20">
        <f t="array" ref="AB4">VLOOKUP($U4,$AF$3:$AN$5,8,0)</f>
        <v>15</v>
      </c>
      <c r="AC4" s="20">
        <f t="array" ref="AC4">VLOOKUP($U4,$AF$3:$AN$5,9,0)</f>
        <v>50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10</v>
      </c>
      <c r="AK4" s="22">
        <f t="array" ref="AK4">SUMIF('ТУР1'!home,AF4,'ТУР2'!homescore)+SUMIF('ТУР2'!visitor,AF4,'ТУР2'!visitorscore)</f>
        <v>43</v>
      </c>
      <c r="AL4" s="27">
        <f t="array" ref="AL4">SUMIF('ТУР1'!home,AF4,'ТУР2'!visitorscore)+SUMIF('ТУР2'!visitor,AF4,'ТУР2'!homescore)</f>
        <v>44</v>
      </c>
      <c r="AM4" s="27">
        <f t="shared" si="2"/>
        <v>-1</v>
      </c>
      <c r="AN4" s="22">
        <f t="array" ref="AN4">AH4*Options!$B$2+AI4*Options!$B$3+AJ4*Options!$B$4+VLOOKUP(AF4,$E$4:$F$8,2,0)</f>
        <v>38</v>
      </c>
      <c r="AO4" s="28">
        <f t="shared" si="3"/>
        <v>3799990043</v>
      </c>
    </row>
    <row r="5">
      <c r="A5" s="12"/>
      <c r="B5" s="12"/>
      <c r="C5" s="60" t="str">
        <f>'ТУР1'!$C$5</f>
        <v>Илья Я. </v>
      </c>
      <c r="D5" s="61" t="s">
        <v>47</v>
      </c>
      <c r="E5" s="60" t="str">
        <f>'ТУР1'!$E$5</f>
        <v>Deqim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43</v>
      </c>
      <c r="AA5" s="20">
        <f t="array" ref="AA5">VLOOKUP($U5,$AF$3:$AN$5,7,0)</f>
        <v>44</v>
      </c>
      <c r="AB5" s="20">
        <f t="array" ref="AB5">VLOOKUP($U5,$AF$3:$AN$5,8,0)</f>
        <v>-1</v>
      </c>
      <c r="AC5" s="20">
        <f t="array" ref="AC5">VLOOKUP($U5,$AF$3:$AN$5,9,0)</f>
        <v>38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35</v>
      </c>
      <c r="AL5" s="27">
        <f t="array" ref="AL5">SUMIF('ТУР1'!home,AF5,'ТУР2'!visitorscore)+SUMIF('ТУР2'!visitor,AF5,'ТУР2'!homescore)</f>
        <v>49</v>
      </c>
      <c r="AM5" s="27">
        <f t="shared" si="2"/>
        <v>-14</v>
      </c>
      <c r="AN5" s="22">
        <f t="array" ref="AN5">AH5*Options!$B$2+AI5*Options!$B$3+AJ5*Options!$B$4+VLOOKUP(AF5,$E$4:$F$8,2,0)</f>
        <v>26</v>
      </c>
      <c r="AO5" s="28">
        <f t="shared" si="3"/>
        <v>2599860035</v>
      </c>
    </row>
    <row r="6">
      <c r="A6" s="12"/>
      <c r="B6" s="12"/>
      <c r="C6" s="60" t="str">
        <f>'ТУР1'!$C$6</f>
        <v>Сергей Б.</v>
      </c>
      <c r="D6" s="61" t="s">
        <v>48</v>
      </c>
      <c r="E6" s="60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35</v>
      </c>
      <c r="AA6" s="20">
        <f t="array" ref="AA6">VLOOKUP($U6,$AF$3:$AN$5,7,0)</f>
        <v>49</v>
      </c>
      <c r="AB6" s="20">
        <f t="array" ref="AB6">VLOOKUP($U6,$AF$3:$AN$5,8,0)</f>
        <v>-14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Warrior  - (Чехия) Deqim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Warrior  - (Чехия) Deqim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Warrior  - (Чехия)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Deqim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Deqim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Deqim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Warrior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Warrior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3</v>
      </c>
      <c r="J21" s="19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Deqim  - (Финляндия) Warrior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Deqim  - (Финляндия) Warrior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Deqim  - (Финляндия) Warrior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Deqim</v>
      </c>
      <c r="F24" s="65" t="str">
        <f t="shared" ref="F24:F29" si="20">$E$6</f>
        <v>Djack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Deqim  - (Германия) Djack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Deqim  - (Германия) Djack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Djack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Deqim  - (Германия)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3</v>
      </c>
      <c r="J27" s="19"/>
      <c r="K27" s="47">
        <v>3.0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Warrior  - (Германия) Djack</v>
      </c>
      <c r="V27" s="12" t="str">
        <f t="shared" si="11"/>
        <v>3:3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Warrior  - (Германия)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Warrior  - (Германия)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Warrior  - (Чехия)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Warrior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Warrior  - (Чехия) Deqim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Deqim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Deqim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Deqim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Warrior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Deqim  - (Финляндия) Warrior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Deqim  - (Финляндия)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Warrior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Deqim  - (Финляндия) Warrior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Deqim  - (Германия) Djack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Deqim  - (Германия) Djack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Deqim  - (Германия)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Warrior  - (Германия)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Warrior  - (Германия) Djack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Warrior  - (Германия) Djack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Warrior  - (Чехия) Deqim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Warrior  - (Чехия)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Deqim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Deqim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Deqim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Warrior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35</v>
      </c>
      <c r="AL3" s="27">
        <f t="array" ref="AL3">SUMIF('ТУР3'!home,AF3,'ТУР3'!visitorscore)+SUMIF('ТУР3'!visitor,AF3,'ТУР3'!homescore)</f>
        <v>36</v>
      </c>
      <c r="AM3" s="27">
        <f t="shared" ref="AM3:AM5" si="2">AK3-AL3</f>
        <v>-1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3599990035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34</v>
      </c>
      <c r="AL4" s="27">
        <f t="array" ref="AL4">SUMIF('ТУР3'!home,AF4,'ТУР3'!visitorscore)+SUMIF('ТУР3'!visitor,AF4,'ТУР3'!homescore)</f>
        <v>38</v>
      </c>
      <c r="AM4" s="27">
        <f t="shared" si="2"/>
        <v>-4</v>
      </c>
      <c r="AN4" s="22">
        <f t="array" ref="AN4">AH4*Options!$B$2+AI4*Options!$B$3+AJ4*Options!$B$4+VLOOKUP(AF4,$E$4:$F$8,2,0)</f>
        <v>33</v>
      </c>
      <c r="AO4" s="28">
        <f t="shared" si="3"/>
        <v>3299960034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35</v>
      </c>
      <c r="AA5" s="20">
        <f t="array" ref="AA5">VLOOKUP($U5,$AF$3:$AN$5,7,0)</f>
        <v>36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41</v>
      </c>
      <c r="AL5" s="27">
        <f t="array" ref="AL5">SUMIF('ТУР3'!home,AF5,'ТУР3'!visitorscore)+SUMIF('ТУР3'!visitor,AF5,'ТУР3'!homescore)</f>
        <v>36</v>
      </c>
      <c r="AM5" s="27">
        <f t="shared" si="2"/>
        <v>5</v>
      </c>
      <c r="AN5" s="22">
        <f t="array" ref="AN5">AH5*Options!$B$2+AI5*Options!$B$3+AJ5*Options!$B$4+VLOOKUP(AF5,$E$4:$F$8,2,0)</f>
        <v>42</v>
      </c>
      <c r="AO5" s="28">
        <f t="shared" si="3"/>
        <v>4200050041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38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AVTOMAT  - (Канада)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AVTOMAT  - (Канада)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AVTOMAT  - (Канада) Handzus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Adisey95</v>
      </c>
      <c r="F15" s="47" t="str">
        <f t="shared" si="7"/>
        <v>Handzus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Adisey95  - (Канада) Handzus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Adisey95</v>
      </c>
      <c r="F16" s="47" t="str">
        <f t="shared" si="7"/>
        <v>Handzus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Adisey95  - (Канада) Handzus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Adisey95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Adisey95  - (Канада) Handzus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Adisey95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Adisey95  - (Швейцария) AVTOMAT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Adisey95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Adisey95  - (Швейцария) AVTOMAT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Adisey95</v>
      </c>
      <c r="F20" s="47" t="str">
        <f t="shared" si="15"/>
        <v>AVTOMAT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Adisey95  - (Швейцария) AVTOMAT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Handzus  - (Швейцария)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Handzus  - (Швейцария)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Handzus  - (Швейцария) AVTOMAT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Adisey95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Handzus  - (США) Adisey95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Adisey95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Handzus  - (США) Adisey95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Adisey95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Handzus  - (США) Adisey95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Adisey95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AVTOMAT  - (США) Adisey95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Adisey95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AVTOMAT  - (США) Adisey95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Adisey95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AVTOMAT  - (США) Adisey95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AVTOMAT  - (Канада) Handzus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AVTOMAT  - (Канада)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AVTOMAT  - (Канада) Handzus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Adisey95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Adisey95  - (Канада) Handzus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Adisey95</v>
      </c>
      <c r="F34" s="47" t="str">
        <f t="shared" si="25"/>
        <v>Handzus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Adisey95  - (Канада) Handzus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Adisey95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Adisey95  - (Канада)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Adisey95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Adisey95  - (Швейцария) AVTOMAT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Adisey95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Adisey95  - (Швейцария) AVTOMAT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Adisey95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Adisey95  - (Швейцария) AVTOMAT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Handzus  - (Швейцария)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Handzus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Handzus  - (Швейцария) AVTOMAT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Handzus  - (США) Adisey95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Adisey95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Handzus  - (США) Adisey95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Adisey95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Handzus  - (США) Adisey95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Adisey95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AVTOMAT  - (США) Adisey95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Adisey95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AVTOMAT  - (США) Adisey95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Adisey95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AVTOMAT  - (США) Adisey95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AVTOMAT  - (Канада) Handzus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AVTOMAT  - (Канада) Handzus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Adisey95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Adisey95  - (Канада) Handzus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Adisey95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Adisey95  - (Канада) Handzus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Adisey95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Adisey95  - (Швейцария) AVTOMAT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Adisey95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Adisey95  - (Швейцария)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15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6</v>
      </c>
      <c r="AK3" s="108">
        <f t="array" ref="AK3">SUMIF('ТУР4'!home,AF3,'ТУР4'!homescore)+SUMIF('ТУР4'!visitor,AF3,'ТУР4'!visitorscore)</f>
        <v>50</v>
      </c>
      <c r="AL3" s="109">
        <f t="array" ref="AL3">SUMIF('ТУР4'!home,AF3,'ТУР4'!visitorscore)+SUMIF('ТУР4'!visitor,AF3,'ТУР4'!homescore)</f>
        <v>38</v>
      </c>
      <c r="AM3" s="87">
        <f t="shared" ref="AM3:AM5" si="2">AK3-AL3</f>
        <v>12</v>
      </c>
      <c r="AN3" s="108">
        <f t="array" ref="AN3">AH3*Options!$B$2+AI3*Options!$B$3+AJ3*Options!$B$4+VLOOKUP(AF3,$E$4:$F$8,2,0)</f>
        <v>54</v>
      </c>
      <c r="AO3" s="88">
        <f t="shared" ref="AO3:AO5" si="3">AK3+AM3*10000+AN3*100000000</f>
        <v>5400120050</v>
      </c>
    </row>
    <row r="4">
      <c r="A4" s="88"/>
      <c r="B4" s="91"/>
      <c r="C4" s="60" t="str">
        <f>'ТУР3'!$C$4</f>
        <v>Вильдан А. </v>
      </c>
      <c r="D4" s="110" t="s">
        <v>31</v>
      </c>
      <c r="E4" s="60" t="str">
        <f>'ТУР3'!$E$4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9</v>
      </c>
      <c r="Y4" s="105">
        <f t="array" ref="Y4">VLOOKUP($U4,$AF$3:$AN$5,5,0)</f>
        <v>6</v>
      </c>
      <c r="Z4" s="105">
        <f t="array" ref="Z4">VLOOKUP($U4,$AF$3:$AN$5,6,0)</f>
        <v>50</v>
      </c>
      <c r="AA4" s="105">
        <f t="array" ref="AA4">VLOOKUP($U4,$AF$3:$AN$5,7,0)</f>
        <v>38</v>
      </c>
      <c r="AB4" s="105">
        <f t="array" ref="AB4">VLOOKUP($U4,$AF$3:$AN$5,8,0)</f>
        <v>12</v>
      </c>
      <c r="AC4" s="105">
        <f t="array" ref="AC4">VLOOKUP($U4,$AF$3:$AN$5,9,0)</f>
        <v>54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9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87">
        <f t="array" ref="AJ4">SUM(('ТУР4'!home=AF4)*('ТУР4'!homescore&lt;'ТУР4'!visitorscore),('ТУР4'!visitor=AF4)*('ТУР4'!visitorscore&lt;'ТУР4'!homescore))</f>
        <v>14</v>
      </c>
      <c r="AK4" s="108">
        <f t="array" ref="AK4">SUMIF('ТУР4'!home,AF4,'ТУР4'!homescore)+SUMIF('ТУР4'!visitor,AF4,'ТУР4'!visitorscore)</f>
        <v>41</v>
      </c>
      <c r="AL4" s="109">
        <f t="array" ref="AL4">SUMIF('ТУР4'!home,AF4,'ТУР4'!visitorscore)+SUMIF('ТУР4'!visitor,AF4,'ТУР4'!homescore)</f>
        <v>51</v>
      </c>
      <c r="AM4" s="87">
        <f t="shared" si="2"/>
        <v>-10</v>
      </c>
      <c r="AN4" s="108">
        <f t="array" ref="AN4">AH4*Options!$B$2+AI4*Options!$B$3+AJ4*Options!$B$4+VLOOKUP(AF4,$E$4:$F$8,2,0)</f>
        <v>34</v>
      </c>
      <c r="AO4" s="88">
        <f t="shared" si="3"/>
        <v>3399900041</v>
      </c>
    </row>
    <row r="5">
      <c r="A5" s="88"/>
      <c r="B5" s="91"/>
      <c r="C5" s="60" t="str">
        <f>'ТУР3'!$C$5</f>
        <v>Евгений Б.</v>
      </c>
      <c r="D5" s="110" t="s">
        <v>46</v>
      </c>
      <c r="E5" s="60" t="str">
        <f>'ТУР3'!$E$5</f>
        <v>Handzus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Handzus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7</v>
      </c>
      <c r="Y5" s="105">
        <f t="array" ref="Y5">VLOOKUP($U5,$AF$3:$AN$5,5,0)</f>
        <v>14</v>
      </c>
      <c r="Z5" s="105">
        <f t="array" ref="Z5">VLOOKUP($U5,$AF$3:$AN$5,6,0)</f>
        <v>41</v>
      </c>
      <c r="AA5" s="105">
        <f t="array" ref="AA5">VLOOKUP($U5,$AF$3:$AN$5,7,0)</f>
        <v>51</v>
      </c>
      <c r="AB5" s="105">
        <f t="array" ref="AB5">VLOOKUP($U5,$AF$3:$AN$5,8,0)</f>
        <v>-10</v>
      </c>
      <c r="AC5" s="105">
        <f t="array" ref="AC5">VLOOKUP($U5,$AF$3:$AN$5,9,0)</f>
        <v>34</v>
      </c>
      <c r="AD5" s="28"/>
      <c r="AE5" s="88"/>
      <c r="AF5" s="112" t="str">
        <f t="shared" si="1"/>
        <v>Adisey95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7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50</v>
      </c>
      <c r="AL5" s="109">
        <f t="array" ref="AL5">SUMIF('ТУР4'!home,AF5,'ТУР4'!visitorscore)+SUMIF('ТУР4'!visitor,AF5,'ТУР4'!homescore)</f>
        <v>52</v>
      </c>
      <c r="AM5" s="87">
        <f t="shared" si="2"/>
        <v>-2</v>
      </c>
      <c r="AN5" s="108">
        <f t="array" ref="AN5">AH5*Options!$B$2+AI5*Options!$B$3+AJ5*Options!$B$4+VLOOKUP(AF5,$E$4:$F$8,2,0)</f>
        <v>33</v>
      </c>
      <c r="AO5" s="88">
        <f t="shared" si="3"/>
        <v>3299980050</v>
      </c>
    </row>
    <row r="6">
      <c r="A6" s="88"/>
      <c r="B6" s="91"/>
      <c r="C6" s="60" t="str">
        <f>'ТУР3'!$C$6</f>
        <v>Адис А.</v>
      </c>
      <c r="D6" s="110" t="s">
        <v>47</v>
      </c>
      <c r="E6" s="60" t="str">
        <f>'ТУР3'!$E$6</f>
        <v>Adisey95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Adisey95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50</v>
      </c>
      <c r="AA6" s="105">
        <f t="array" ref="AA6">VLOOKUP($U6,$AF$3:$AN$5,7,0)</f>
        <v>52</v>
      </c>
      <c r="AB6" s="105">
        <f t="array" ref="AB6">VLOOKUP($U6,$AF$3:$AN$5,8,0)</f>
        <v>-2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AVTOMAT  - (Финляндия) Handzus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AVTOMAT  - (Финляндия) Handzus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AVTOMAT  - (Финляндия) Handzus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Adisey95</v>
      </c>
      <c r="F15" s="118" t="str">
        <f t="shared" si="7"/>
        <v>Handzus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Adisey95  - (Финляндия) Handzus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Adisey95</v>
      </c>
      <c r="F16" s="118" t="str">
        <f t="shared" si="7"/>
        <v>Handzus</v>
      </c>
      <c r="G16" s="116">
        <f t="shared" si="8"/>
        <v>3</v>
      </c>
      <c r="H16" s="118"/>
      <c r="I16" s="116">
        <f t="shared" si="9"/>
        <v>1</v>
      </c>
      <c r="J16" s="118"/>
      <c r="K16" s="122">
        <v>3.0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Adisey95  - (Финляндия) Handzus</v>
      </c>
      <c r="V16" s="88" t="str">
        <f t="shared" si="11"/>
        <v>3:1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Adisey95</v>
      </c>
      <c r="F17" s="118" t="str">
        <f t="shared" si="7"/>
        <v>Handzus</v>
      </c>
      <c r="G17" s="116">
        <f t="shared" si="8"/>
        <v>0</v>
      </c>
      <c r="H17" s="118"/>
      <c r="I17" s="116">
        <f t="shared" si="9"/>
        <v>1</v>
      </c>
      <c r="J17" s="118"/>
      <c r="K17" s="118">
        <v>0.0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Adisey95  - (Финляндия) Handzus</v>
      </c>
      <c r="V17" s="88" t="str">
        <f t="shared" si="11"/>
        <v>0:1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Adisey95</v>
      </c>
      <c r="F18" s="118" t="str">
        <f t="shared" ref="F18:F23" si="15">$E$4</f>
        <v>AVTOMAT</v>
      </c>
      <c r="G18" s="116">
        <f t="shared" si="8"/>
        <v>2</v>
      </c>
      <c r="H18" s="118"/>
      <c r="I18" s="116">
        <f t="shared" si="9"/>
        <v>3</v>
      </c>
      <c r="J18" s="118"/>
      <c r="K18" s="121">
        <v>2.0</v>
      </c>
      <c r="L18" s="123">
        <v>3.0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Adisey95  - (Швеция) AVTOMAT</v>
      </c>
      <c r="V18" s="88" t="str">
        <f t="shared" si="11"/>
        <v>2:3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Adisey95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Adisey95  - (Швеция) AVTOMAT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Adisey95</v>
      </c>
      <c r="F20" s="118" t="str">
        <f t="shared" si="15"/>
        <v>AVTOMAT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Adisey95  - (Швеция) AVTOMAT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Handzus  - (Швеция) AVTOMAT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2</v>
      </c>
      <c r="H22" s="118"/>
      <c r="I22" s="116">
        <f t="shared" si="16"/>
        <v>3</v>
      </c>
      <c r="J22" s="118"/>
      <c r="K22" s="122">
        <v>2.0</v>
      </c>
      <c r="L22" s="126">
        <v>3.0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Handzus  - (Швеция) AVTOMAT</v>
      </c>
      <c r="V22" s="88" t="str">
        <f t="shared" si="11"/>
        <v>2:3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Handzus  - (Швеция) AVTOMAT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Adisey95</v>
      </c>
      <c r="G24" s="116">
        <f t="shared" si="8"/>
        <v>2</v>
      </c>
      <c r="H24" s="118"/>
      <c r="I24" s="116">
        <f t="shared" ref="I24:I30" si="21">SUM(L24)</f>
        <v>3</v>
      </c>
      <c r="J24" s="118"/>
      <c r="K24" s="121">
        <v>2.0</v>
      </c>
      <c r="L24" s="123">
        <v>3.0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Handzus  - (Чехия) Adisey95</v>
      </c>
      <c r="V24" s="88" t="str">
        <f t="shared" si="11"/>
        <v>2:3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Adisey95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Handzus  - (Чехия) Adisey95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Adisey95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Handzus  - (Чехия) Adisey95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Adisey95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AVTOMAT  - (Чехия) Adisey95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Adisey95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AVTOMAT  - (Чехия) Adisey95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Adisey95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AVTOMAT  - (Чехия) Adisey95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AVTOMAT  - (Финляндия) Handzus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AVTOMAT  - (Финляндия) Handzus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0</v>
      </c>
      <c r="H32" s="118"/>
      <c r="I32" s="116">
        <f t="shared" si="26"/>
        <v>2</v>
      </c>
      <c r="J32" s="118"/>
      <c r="K32" s="122">
        <v>0.0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AVTOMAT  - (Финляндия) Handzus</v>
      </c>
      <c r="V32" s="88" t="str">
        <f t="shared" si="11"/>
        <v>0:2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Adisey95</v>
      </c>
      <c r="F33" s="118" t="str">
        <f t="shared" si="25"/>
        <v>Handzus</v>
      </c>
      <c r="G33" s="116">
        <f t="shared" si="8"/>
        <v>3</v>
      </c>
      <c r="H33" s="118"/>
      <c r="I33" s="116">
        <f t="shared" si="26"/>
        <v>1</v>
      </c>
      <c r="J33" s="118"/>
      <c r="K33" s="122">
        <v>3.0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Adisey95  - (Финляндия) Handzus</v>
      </c>
      <c r="V33" s="88" t="str">
        <f t="shared" si="11"/>
        <v>3:1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Adisey95</v>
      </c>
      <c r="F34" s="118" t="str">
        <f t="shared" si="25"/>
        <v>Handzus</v>
      </c>
      <c r="G34" s="116">
        <f t="shared" si="8"/>
        <v>3</v>
      </c>
      <c r="H34" s="118"/>
      <c r="I34" s="116">
        <f t="shared" si="26"/>
        <v>3</v>
      </c>
      <c r="J34" s="118"/>
      <c r="K34" s="122">
        <v>3.0</v>
      </c>
      <c r="L34" s="126">
        <v>3.0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Adisey95  - (Финляндия) Handzus</v>
      </c>
      <c r="V34" s="88" t="str">
        <f t="shared" si="11"/>
        <v>3:3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Adisey95</v>
      </c>
      <c r="F35" s="118" t="str">
        <f t="shared" si="25"/>
        <v>Handzus</v>
      </c>
      <c r="G35" s="116">
        <f t="shared" si="8"/>
        <v>3</v>
      </c>
      <c r="H35" s="118"/>
      <c r="I35" s="116">
        <f t="shared" si="26"/>
        <v>1</v>
      </c>
      <c r="J35" s="118"/>
      <c r="K35" s="118">
        <v>3.0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Adisey95  - (Финляндия) Handzus</v>
      </c>
      <c r="V35" s="88" t="str">
        <f t="shared" si="11"/>
        <v>3:1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Adisey95</v>
      </c>
      <c r="F36" s="118" t="str">
        <f t="shared" ref="F36:F41" si="30">$E$4</f>
        <v>AVTOMAT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Adisey95  - (Швеция) AVTOMAT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Adisey95</v>
      </c>
      <c r="F37" s="118" t="str">
        <f t="shared" si="30"/>
        <v>AVTOMAT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Adisey95  - (Швеция) AVTOMAT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Adisey95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Adisey95  - (Швеция) AVTOMAT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Handzus  - (Швеция) AVTOMAT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Handzus  - (Швеция) AVTOMAT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Handzus  - (Швеция) AVTOMAT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Adisey95</v>
      </c>
      <c r="G42" s="116">
        <f t="shared" si="8"/>
        <v>2</v>
      </c>
      <c r="H42" s="118"/>
      <c r="I42" s="116">
        <f t="shared" si="31"/>
        <v>1</v>
      </c>
      <c r="J42" s="118"/>
      <c r="K42" s="121">
        <v>2.0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Handzus  - (Чехия) Adisey95</v>
      </c>
      <c r="V42" s="88" t="str">
        <f t="shared" si="11"/>
        <v>2:1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Adisey95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Handzus  - (Чехия) Adisey95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Adisey95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Handzus  - (Чехия) Adisey95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Adisey95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AVTOMAT  - (Чехия) Adisey95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Adisey95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AVTOMAT  - (Чехия) Adisey95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Adisey95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AVTOMAT  - (Чехия) Adisey95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1</v>
      </c>
      <c r="H48" s="118"/>
      <c r="I48" s="116">
        <f>SUM(L48)</f>
        <v>0</v>
      </c>
      <c r="J48" s="118"/>
      <c r="K48" s="121">
        <v>1.0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AVTOMAT  - (Финляндия) Handzus</v>
      </c>
      <c r="V48" s="88" t="str">
        <f t="shared" si="11"/>
        <v>1:0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AVTOMAT  - (Финляндия) Handzus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0</v>
      </c>
      <c r="H50" s="118"/>
      <c r="I50" s="116">
        <f t="shared" si="41"/>
        <v>0</v>
      </c>
      <c r="J50" s="118"/>
      <c r="K50" s="122">
        <v>0.0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AVTOMAT  - (Финляндия) Handzus</v>
      </c>
      <c r="V50" s="88" t="str">
        <f t="shared" si="11"/>
        <v>0:0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Adisey95</v>
      </c>
      <c r="F51" s="118" t="str">
        <f t="shared" si="40"/>
        <v>Handzus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Adisey95  - (Финляндия) Handzus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Adisey95</v>
      </c>
      <c r="F52" s="118" t="str">
        <f t="shared" si="40"/>
        <v>Handzus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Adisey95  - (Финляндия) Handzus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Adisey95</v>
      </c>
      <c r="F53" s="118" t="str">
        <f t="shared" si="40"/>
        <v>Handzus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Adisey95  - (Финляндия) Handzus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Adisey95</v>
      </c>
      <c r="F54" s="118" t="str">
        <f t="shared" ref="F54:F56" si="45">$E$4</f>
        <v>AVTOMAT</v>
      </c>
      <c r="G54" s="116">
        <f t="shared" si="8"/>
        <v>0</v>
      </c>
      <c r="H54" s="118"/>
      <c r="I54" s="116">
        <f t="shared" ref="I54:I56" si="46">SUM(L54)</f>
        <v>0</v>
      </c>
      <c r="J54" s="118"/>
      <c r="K54" s="121" t="s">
        <v>60</v>
      </c>
      <c r="L54" s="123" t="s">
        <v>60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Adisey95  - (Швеция) AVTOMAT</v>
      </c>
      <c r="V54" s="88" t="str">
        <f t="shared" si="11"/>
        <v>0:0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Adisey95</v>
      </c>
      <c r="F55" s="118" t="str">
        <f t="shared" si="45"/>
        <v>AVTOMAT</v>
      </c>
      <c r="G55" s="116">
        <f t="shared" si="8"/>
        <v>3</v>
      </c>
      <c r="H55" s="118"/>
      <c r="I55" s="116">
        <f t="shared" si="46"/>
        <v>1</v>
      </c>
      <c r="J55" s="118"/>
      <c r="K55" s="122">
        <v>3.0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Adisey95  - (Швеция) AVTOMAT</v>
      </c>
      <c r="V55" s="88" t="str">
        <f t="shared" si="11"/>
        <v>3:1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Adisey95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Adisey95  - (Швеция) AVTOMAT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38</v>
      </c>
      <c r="AL3" s="27">
        <f t="array" ref="AL3">SUMIF('ТУР5'!home,AF3,'ТУР5'!visitorscore)+SUMIF('ТУР5'!visitor,AF3,'ТУР5'!homescore)</f>
        <v>29</v>
      </c>
      <c r="AM3" s="27">
        <f t="shared" ref="AM3:AM5" si="2">AK3-AL3</f>
        <v>9</v>
      </c>
      <c r="AN3" s="22">
        <f t="array" ref="AN3">AH3*Options!$B$2+AI3*Options!$B$3+AJ3*Options!$B$4+VLOOKUP(AF3,$E$4:$F$8,2,0)</f>
        <v>52</v>
      </c>
      <c r="AO3" s="28">
        <f t="shared" ref="AO3:AO5" si="3">AK3+AM3*10000+AN3*100000000</f>
        <v>5200090038</v>
      </c>
    </row>
    <row r="4">
      <c r="A4" s="12"/>
      <c r="B4" s="12"/>
      <c r="C4" s="60" t="str">
        <f>'ТУР3'!$C$4</f>
        <v>Вильдан А. </v>
      </c>
      <c r="D4" s="110" t="s">
        <v>25</v>
      </c>
      <c r="E4" s="60" t="str">
        <f>'ТУР3'!$E$4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7</v>
      </c>
      <c r="Y4" s="20">
        <f t="array" ref="Y4">VLOOKUP($U4,$AF$3:$AN$5,5,0)</f>
        <v>6</v>
      </c>
      <c r="Z4" s="20">
        <f t="array" ref="Z4">VLOOKUP($U4,$AF$3:$AN$5,6,0)</f>
        <v>38</v>
      </c>
      <c r="AA4" s="20">
        <f t="array" ref="AA4">VLOOKUP($U4,$AF$3:$AN$5,7,0)</f>
        <v>29</v>
      </c>
      <c r="AB4" s="20">
        <f t="array" ref="AB4">VLOOKUP($U4,$AF$3:$AN$5,8,0)</f>
        <v>9</v>
      </c>
      <c r="AC4" s="20">
        <f t="array" ref="AC4">VLOOKUP($U4,$AF$3:$AN$5,9,0)</f>
        <v>52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10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11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37</v>
      </c>
      <c r="AM4" s="27">
        <f t="shared" si="2"/>
        <v>1</v>
      </c>
      <c r="AN4" s="22">
        <f t="array" ref="AN4">AH4*Options!$B$2+AI4*Options!$B$3+AJ4*Options!$B$4+VLOOKUP(AF4,$E$4:$F$8,2,0)</f>
        <v>37</v>
      </c>
      <c r="AO4" s="28">
        <f t="shared" si="3"/>
        <v>3700010038</v>
      </c>
    </row>
    <row r="5">
      <c r="A5" s="12"/>
      <c r="B5" s="12"/>
      <c r="C5" s="60" t="str">
        <f>'ТУР3'!$C$5</f>
        <v>Евгений Б.</v>
      </c>
      <c r="D5" s="110" t="s">
        <v>28</v>
      </c>
      <c r="E5" s="60" t="str">
        <f>'ТУР3'!$E$5</f>
        <v>Handzus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37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27">
        <f t="array" ref="AJ5">SUM(('ТУР5'!home=AF5)*('ТУР5'!homescore&lt;'ТУР5'!visitorscore),('ТУР5'!visitor=AF5)*('ТУР5'!visitorscore&lt;'ТУР5'!homescore))</f>
        <v>16</v>
      </c>
      <c r="AK5" s="22">
        <f t="array" ref="AK5">SUMIF('ТУР5'!home,AF5,'ТУР5'!homescore)+SUMIF('ТУР5'!visitor,AF5,'ТУР5'!visitorscore)</f>
        <v>29</v>
      </c>
      <c r="AL5" s="27">
        <f t="array" ref="AL5">SUMIF('ТУР5'!home,AF5,'ТУР5'!visitorscore)+SUMIF('ТУР5'!visitor,AF5,'ТУР5'!homescore)</f>
        <v>39</v>
      </c>
      <c r="AM5" s="27">
        <f t="shared" si="2"/>
        <v>-10</v>
      </c>
      <c r="AN5" s="22">
        <f t="array" ref="AN5">AH5*Options!$B$2+AI5*Options!$B$3+AJ5*Options!$B$4+VLOOKUP(AF5,$E$4:$F$8,2,0)</f>
        <v>28</v>
      </c>
      <c r="AO5" s="28">
        <f t="shared" si="3"/>
        <v>2799900029</v>
      </c>
    </row>
    <row r="6">
      <c r="A6" s="12"/>
      <c r="B6" s="12"/>
      <c r="C6" s="60" t="str">
        <f>'ТУР3'!$C$6</f>
        <v>Адис А.</v>
      </c>
      <c r="D6" s="110" t="s">
        <v>31</v>
      </c>
      <c r="E6" s="60" t="str">
        <f>'ТУР3'!$E$6</f>
        <v>Adisey95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4</v>
      </c>
      <c r="Y6" s="20">
        <f t="array" ref="Y6">VLOOKUP($U6,$AF$3:$AN$5,5,0)</f>
        <v>16</v>
      </c>
      <c r="Z6" s="20">
        <f t="array" ref="Z6">VLOOKUP($U6,$AF$3:$AN$5,6,0)</f>
        <v>29</v>
      </c>
      <c r="AA6" s="20">
        <f t="array" ref="AA6">VLOOKUP($U6,$AF$3:$AN$5,7,0)</f>
        <v>39</v>
      </c>
      <c r="AB6" s="20">
        <f t="array" ref="AB6">VLOOKUP($U6,$AF$3:$AN$5,8,0)</f>
        <v>-10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AVTOMAT  - (США) Handzus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AVTOMAT  - (США) Handzus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AVTOMAT  - (США) Handzus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Adisey95</v>
      </c>
      <c r="F15" s="47" t="str">
        <f t="shared" si="7"/>
        <v>Handzus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Adisey95  - (США) Handzus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Adisey95</v>
      </c>
      <c r="F16" s="47" t="str">
        <f t="shared" si="7"/>
        <v>Handzus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Adisey95  - (США) Handzus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Adisey95</v>
      </c>
      <c r="F17" s="47" t="str">
        <f t="shared" si="7"/>
        <v>Handzus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Adisey95  - (США) Handzus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Adisey95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Adisey95  - (Канада) AVTOMAT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Adisey95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Adisey95  - (Канада) AVTOMAT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Adisey95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Adisey95  - (Канада) AVTOMAT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Handzus  - (Канада) AVTOMAT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Handzus  - (Канада) AVTOMAT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Handzus  - (Канада)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Handzus</v>
      </c>
      <c r="F24" s="51" t="str">
        <f t="shared" ref="F24:F29" si="20">$E$6</f>
        <v>Adisey95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Handzus  - (Швеция) Adisey95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Handzus</v>
      </c>
      <c r="F25" s="51" t="str">
        <f t="shared" si="20"/>
        <v>Adisey95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Handzus  - (Швеция) Adisey95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Handzus</v>
      </c>
      <c r="F26" s="51" t="str">
        <f t="shared" si="20"/>
        <v>Adisey95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Handzus  - (Швеция) Adisey95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AVTOMAT</v>
      </c>
      <c r="F27" s="51" t="str">
        <f t="shared" si="20"/>
        <v>Adisey95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AVTOMAT  - (Швеция) Adisey95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AVTOMAT</v>
      </c>
      <c r="F28" s="51" t="str">
        <f t="shared" si="20"/>
        <v>Adisey95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AVTOMAT  - (Швеция) Adisey95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AVTOMAT</v>
      </c>
      <c r="F29" s="51" t="str">
        <f t="shared" si="20"/>
        <v>Adisey95</v>
      </c>
      <c r="G29" s="40">
        <f t="shared" si="8"/>
        <v>3</v>
      </c>
      <c r="H29" s="19"/>
      <c r="I29" s="40">
        <f t="shared" si="21"/>
        <v>2</v>
      </c>
      <c r="J29" s="19"/>
      <c r="K29" s="47">
        <v>3.0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AVTOMAT  - (Швеция) Adisey95</v>
      </c>
      <c r="V29" s="12" t="str">
        <f t="shared" si="11"/>
        <v>3:2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0</v>
      </c>
      <c r="H30" s="19"/>
      <c r="I30" s="40">
        <f t="shared" si="21"/>
        <v>0</v>
      </c>
      <c r="J30" s="19"/>
      <c r="K30" s="47" t="s">
        <v>60</v>
      </c>
      <c r="L30" s="47" t="s">
        <v>60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AVTOMAT  - (США) Handzus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AVTOMAT  - (США)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AVTOMAT  - (США)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Adisey95</v>
      </c>
      <c r="F33" s="47" t="str">
        <f t="shared" si="25"/>
        <v>Handzus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Adisey95  - (США) Handzus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Adisey95</v>
      </c>
      <c r="F34" s="47" t="str">
        <f t="shared" si="25"/>
        <v>Handzus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Adisey95  - (США) Handzus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Adisey95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Adisey95  - (США)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Adisey95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Adisey95  - (Канада) AVTOMAT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Adisey95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Adisey95  - (Канада) AVTOMAT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Adisey95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Adisey95  - (Канада) AVTOMAT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Handzus  - (Канада)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Handzus  - (Канада) AVTOMAT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Handzus  - (Канада)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Handzus</v>
      </c>
      <c r="F42" s="47" t="str">
        <f t="shared" ref="F42:F47" si="35">$E$6</f>
        <v>Adisey95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Handzus  - (Швеция) Adisey95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Handzus</v>
      </c>
      <c r="F43" s="47" t="str">
        <f t="shared" si="35"/>
        <v>Adisey95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Handzus  - (Швеция) Adisey95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Handzus</v>
      </c>
      <c r="F44" s="47" t="str">
        <f t="shared" si="35"/>
        <v>Adisey95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Handzus  - (Швеция) Adisey95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AVTOMAT</v>
      </c>
      <c r="F45" s="47" t="str">
        <f t="shared" si="35"/>
        <v>Adisey95</v>
      </c>
      <c r="G45" s="40">
        <f t="shared" si="8"/>
        <v>0</v>
      </c>
      <c r="H45" s="19"/>
      <c r="I45" s="40">
        <f t="shared" si="36"/>
        <v>0</v>
      </c>
      <c r="J45" s="19"/>
      <c r="K45" s="47" t="s">
        <v>60</v>
      </c>
      <c r="L45" s="47" t="s">
        <v>60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AVTOMAT  - (Швеция) Adisey95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AVTOMAT</v>
      </c>
      <c r="F46" s="47" t="str">
        <f t="shared" si="35"/>
        <v>Adisey95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AVTOMAT  - (Швеция) Adisey95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AVTOMAT</v>
      </c>
      <c r="F47" s="47" t="str">
        <f t="shared" si="35"/>
        <v>Adisey95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AVTOMAT  - (Швеция) Adisey95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AVTOMAT  - (США) Handzus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AVTOMAT  - (США) Handzus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Adisey95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Adisey95  - (США) Handzus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Adisey95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Adisey95  - (США) Handzus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Adisey95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Adisey95  - (Канада) AVTOMAT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Adisey95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Adisey95  - (Канада)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6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39</v>
      </c>
      <c r="AL3" s="27">
        <f t="array" ref="AL3">SUMIF('ТУР6'!home,AF3,'ТУР6'!visitorscore)+SUMIF('ТУР6'!visitor,AF3,'ТУР6'!homescore)</f>
        <v>42</v>
      </c>
      <c r="AM3" s="27">
        <f t="shared" ref="AM3:AM5" si="2">AK3-AL3</f>
        <v>-3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2999970039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50</v>
      </c>
      <c r="AA4" s="20">
        <f t="array" ref="AA4">VLOOKUP($U4,$AF$3:$AN$5,7,0)</f>
        <v>41</v>
      </c>
      <c r="AB4" s="20">
        <f t="array" ref="AB4">VLOOKUP($U4,$AF$3:$AN$5,8,0)</f>
        <v>9</v>
      </c>
      <c r="AC4" s="20">
        <f t="array" ref="AC4">VLOOKUP($U4,$AF$3:$AN$5,9,0)</f>
        <v>46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7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51</v>
      </c>
      <c r="AM4" s="27">
        <f t="shared" si="2"/>
        <v>-6</v>
      </c>
      <c r="AN4" s="22">
        <f t="array" ref="AN4">AH4*Options!$B$2+AI4*Options!$B$3+AJ4*Options!$B$4+VLOOKUP(AF4,$E$4:$F$8,2,0)</f>
        <v>33</v>
      </c>
      <c r="AO4" s="28">
        <f t="shared" si="3"/>
        <v>3299940045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12</v>
      </c>
      <c r="Y5" s="20">
        <f t="array" ref="Y5">VLOOKUP($U5,$AF$3:$AN$5,5,0)</f>
        <v>9</v>
      </c>
      <c r="Z5" s="20">
        <f t="array" ref="Z5">VLOOKUP($U5,$AF$3:$AN$5,6,0)</f>
        <v>45</v>
      </c>
      <c r="AA5" s="20">
        <f t="array" ref="AA5">VLOOKUP($U5,$AF$3:$AN$5,7,0)</f>
        <v>51</v>
      </c>
      <c r="AB5" s="20">
        <f t="array" ref="AB5">VLOOKUP($U5,$AF$3:$AN$5,8,0)</f>
        <v>-6</v>
      </c>
      <c r="AC5" s="20">
        <f t="array" ref="AC5">VLOOKUP($U5,$AF$3:$AN$5,9,0)</f>
        <v>33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12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6</v>
      </c>
      <c r="AK5" s="22">
        <f t="array" ref="AK5">SUMIF('ТУР6'!home,AF5,'ТУР6'!homescore)+SUMIF('ТУР6'!visitor,AF5,'ТУР6'!visitorscore)</f>
        <v>50</v>
      </c>
      <c r="AL5" s="27">
        <f t="array" ref="AL5">SUMIF('ТУР6'!home,AF5,'ТУР6'!visitorscore)+SUMIF('ТУР6'!visitor,AF5,'ТУР6'!homescore)</f>
        <v>41</v>
      </c>
      <c r="AM5" s="27">
        <f t="shared" si="2"/>
        <v>9</v>
      </c>
      <c r="AN5" s="22">
        <f t="array" ref="AN5">AH5*Options!$B$2+AI5*Options!$B$3+AJ5*Options!$B$4+VLOOKUP(AF5,$E$4:$F$8,2,0)</f>
        <v>46</v>
      </c>
      <c r="AO5" s="28">
        <f t="shared" si="3"/>
        <v>4600090050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39</v>
      </c>
      <c r="AA6" s="20">
        <f t="array" ref="AA6">VLOOKUP($U6,$AF$3:$AN$5,7,0)</f>
        <v>42</v>
      </c>
      <c r="AB6" s="20">
        <f t="array" ref="AB6">VLOOKUP($U6,$AF$3:$AN$5,8,0)</f>
        <v>-3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mace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mace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mace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mace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mace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mace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MBK  - (Чехия) mace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MBK</v>
      </c>
      <c r="F16" s="47" t="str">
        <f t="shared" si="7"/>
        <v>mace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MBK  - (Чехия) mace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MBK</v>
      </c>
      <c r="F17" s="47" t="str">
        <f t="shared" si="7"/>
        <v>mace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MBK  - (Чехия) mace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MBK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MBK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MBK  - (Финляндия) rio2k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MBK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MBK  - (Финляндия) rio2k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mace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mace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mace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mace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mace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mace  - (Финляндия)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mace  - (Германия) MBK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mace</v>
      </c>
      <c r="F25" s="51" t="str">
        <f t="shared" si="20"/>
        <v>MBK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mace  - (Германия) MBK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mace</v>
      </c>
      <c r="F26" s="51" t="str">
        <f t="shared" si="20"/>
        <v>MBK</v>
      </c>
      <c r="G26" s="76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mace  - (Германия) MBK</v>
      </c>
      <c r="V26" s="12" t="str">
        <f t="shared" si="11"/>
        <v>0:2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MBK</v>
      </c>
      <c r="V27" s="12" t="str">
        <f t="shared" si="11"/>
        <v>0:1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MBK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MBK</v>
      </c>
      <c r="V28" s="12" t="str">
        <f t="shared" si="11"/>
        <v>0:2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MBK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mace</v>
      </c>
      <c r="V30" s="12" t="str">
        <f t="shared" si="11"/>
        <v>2:0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mace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mace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mace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3</v>
      </c>
      <c r="H33" s="19"/>
      <c r="I33" s="40">
        <f t="shared" si="26"/>
        <v>3</v>
      </c>
      <c r="J33" s="19"/>
      <c r="K33" s="47">
        <v>3.0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MBK  - (Чехия) mace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MBK</v>
      </c>
      <c r="F34" s="47" t="str">
        <f t="shared" si="25"/>
        <v>mace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MBK  - (Чехия) mace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MBK</v>
      </c>
      <c r="F35" s="47" t="str">
        <f t="shared" si="25"/>
        <v>mace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MBK  - (Чехия) mace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3</v>
      </c>
      <c r="H36" s="19"/>
      <c r="I36" s="40">
        <f t="shared" ref="I36:I42" si="31">SUM(L36)</f>
        <v>2</v>
      </c>
      <c r="J36" s="19"/>
      <c r="K36" s="47">
        <v>3.0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MBK  - (Финляндия) rio2k</v>
      </c>
      <c r="V36" s="12" t="str">
        <f t="shared" si="11"/>
        <v>3:2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MBK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MBK  - (Финляндия)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MBK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MBK  - (Финляндия) rio2k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mace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mace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mace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mace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mace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mace  - (Финляндия)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mace  - (Германия) MBK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mace</v>
      </c>
      <c r="F43" s="47" t="str">
        <f t="shared" si="35"/>
        <v>MBK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mace  - (Германия) MBK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mace</v>
      </c>
      <c r="F44" s="47" t="str">
        <f t="shared" si="35"/>
        <v>MBK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mace  - (Германия) MBK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MBK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MBK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MBK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MBK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MBK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mace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mace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mace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mace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MBK  - (Чехия) mace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MBK</v>
      </c>
      <c r="F51" s="47" t="str">
        <f t="shared" si="40"/>
        <v>mace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MBK  - (Чехия) mace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MBK  - (Финляндия) rio2k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MBK  - (Финляндия)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36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34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-5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3599950034</v>
      </c>
    </row>
    <row r="4">
      <c r="A4" s="12"/>
      <c r="B4" s="12"/>
      <c r="C4" s="137" t="str">
        <f>'ТУР6'!$C$4</f>
        <v>Руслан С. </v>
      </c>
      <c r="D4" s="138" t="s">
        <v>53</v>
      </c>
      <c r="E4" s="137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41</v>
      </c>
      <c r="AA4" s="20">
        <f t="array" ref="AA4">VLOOKUP($U4,$AF$3:$AN$5,7,0)</f>
        <v>32</v>
      </c>
      <c r="AB4" s="20">
        <f t="array" ref="AB4">VLOOKUP($U4,$AF$3:$AN$5,8,0)</f>
        <v>9</v>
      </c>
      <c r="AC4" s="20">
        <f t="array" ref="AC4">VLOOKUP($U4,$AF$3:$AN$5,9,0)</f>
        <v>44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8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12</v>
      </c>
      <c r="AK4" s="22">
        <f t="array" ref="AK4">SUMIF('ТУР7'!home,AF4,'ТУР7'!homescore)+SUMIF('ТУР7'!visitor,AF4,'ТУР7'!visitorscore)</f>
        <v>43</v>
      </c>
      <c r="AL4" s="27">
        <f t="array" ref="AL4">SUMIF('ТУР7'!home,AF4,'ТУР7'!visitorscore)+SUMIF('ТУР7'!visitor,AF4,'ТУР7'!homescore)</f>
        <v>47</v>
      </c>
      <c r="AM4" s="27">
        <f t="shared" si="2"/>
        <v>-4</v>
      </c>
      <c r="AN4" s="22">
        <f t="array" ref="AN4">AH4*Options!$B$2+AI4*Options!$B$3+AJ4*Options!$B$4+VLOOKUP(AF4,$E$4:$F$8,2,0)</f>
        <v>32</v>
      </c>
      <c r="AO4" s="28">
        <f t="shared" si="3"/>
        <v>3199960043</v>
      </c>
    </row>
    <row r="5">
      <c r="A5" s="12"/>
      <c r="B5" s="12"/>
      <c r="C5" s="137" t="str">
        <f>'ТУР6'!$C$5</f>
        <v>Тимур А.</v>
      </c>
      <c r="D5" s="138" t="s">
        <v>25</v>
      </c>
      <c r="E5" s="137" t="str">
        <f>'ТУР6'!$E$5</f>
        <v>mace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34</v>
      </c>
      <c r="AA5" s="20">
        <f t="array" ref="AA5">VLOOKUP($U5,$AF$3:$AN$5,7,0)</f>
        <v>39</v>
      </c>
      <c r="AB5" s="20">
        <f t="array" ref="AB5">VLOOKUP($U5,$AF$3:$AN$5,8,0)</f>
        <v>-5</v>
      </c>
      <c r="AC5" s="20">
        <f t="array" ref="AC5">VLOOKUP($U5,$AF$3:$AN$5,9,0)</f>
        <v>36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6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32</v>
      </c>
      <c r="AM5" s="27">
        <f t="shared" si="2"/>
        <v>9</v>
      </c>
      <c r="AN5" s="22">
        <f t="array" ref="AN5">AH5*Options!$B$2+AI5*Options!$B$3+AJ5*Options!$B$4+VLOOKUP(AF5,$E$4:$F$8,2,0)</f>
        <v>44</v>
      </c>
      <c r="AO5" s="28">
        <f t="shared" si="3"/>
        <v>4400090041</v>
      </c>
    </row>
    <row r="6">
      <c r="A6" s="12"/>
      <c r="B6" s="12"/>
      <c r="C6" s="137" t="str">
        <f>'ТУР6'!$C$6</f>
        <v>Дмитрий П.</v>
      </c>
      <c r="D6" s="138" t="s">
        <v>28</v>
      </c>
      <c r="E6" s="137" t="str">
        <f>'ТУР6'!$E$6</f>
        <v>MBK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43</v>
      </c>
      <c r="AA6" s="20">
        <f t="array" ref="AA6">VLOOKUP($U6,$AF$3:$AN$5,7,0)</f>
        <v>47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mace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mace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mace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mace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mace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mace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MBK  - (Канада) mace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MBK</v>
      </c>
      <c r="F16" s="47" t="str">
        <f t="shared" si="7"/>
        <v>mace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MBK  - (Канада) mace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MBK</v>
      </c>
      <c r="F17" s="47" t="str">
        <f t="shared" si="7"/>
        <v>mace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MBK  - (Канада) mace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MBK  - (Швейцария) rio2k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MBK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MBK  - (Швейцария) rio2k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MBK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MBK  - (Швейцария)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mace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mace  - (Швейцария) rio2k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mace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mace  - (Швейцария)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mace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mace  - (Швейцария)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mace  - (США) MBK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mace</v>
      </c>
      <c r="F25" s="51" t="str">
        <f t="shared" si="20"/>
        <v>MBK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mace  - (США) MBK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mace</v>
      </c>
      <c r="F26" s="51" t="str">
        <f t="shared" si="20"/>
        <v>MBK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mace  - (США) MBK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MBK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MBK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MBK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MBK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mace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mace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mace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mace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mace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MBK  - (Канада) mace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MBK</v>
      </c>
      <c r="F34" s="47" t="str">
        <f t="shared" si="25"/>
        <v>mace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MBK  - (Канада) mace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MBK</v>
      </c>
      <c r="F35" s="47" t="str">
        <f t="shared" si="25"/>
        <v>mace</v>
      </c>
      <c r="G35" s="40">
        <f t="shared" si="8"/>
        <v>3</v>
      </c>
      <c r="H35" s="19"/>
      <c r="I35" s="40">
        <f t="shared" si="26"/>
        <v>3</v>
      </c>
      <c r="J35" s="19"/>
      <c r="K35" s="47">
        <v>3.0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MBK  - (Канада) mace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0</v>
      </c>
      <c r="J36" s="19"/>
      <c r="K36" s="47">
        <v>0.0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MBK  - (Швейцария) rio2k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MBK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MBK  - (Швейцария) rio2k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MBK  - (Швейцария)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mace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mace  - (Швейцария)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mace</v>
      </c>
      <c r="F40" s="47" t="str">
        <f t="shared" si="30"/>
        <v>rio2k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mace  - (Швейцария) rio2k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mace</v>
      </c>
      <c r="F41" s="47" t="str">
        <f t="shared" si="30"/>
        <v>rio2k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mace  - (Швейцария) rio2k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mace  - (США) MBK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mace</v>
      </c>
      <c r="F43" s="47" t="str">
        <f t="shared" si="35"/>
        <v>MBK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mace  - (США) MBK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mace</v>
      </c>
      <c r="F44" s="47" t="str">
        <f t="shared" si="35"/>
        <v>MBK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mace  - (США) MBK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MBK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MBK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MBK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MBK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MBK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mace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mace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mace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mace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MBK  - (Канада) mace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MBK</v>
      </c>
      <c r="F51" s="47" t="str">
        <f t="shared" si="40"/>
        <v>mace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MBK  - (Канада) mace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MBK  - (Швейцария)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MBK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MBK  - (Швейцария) rio2k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39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45705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40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40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41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49</v>
      </c>
      <c r="AL3" s="109">
        <f t="array" ref="AL3">SUMIF('ТУР8'!home,AF3,'ТУР8'!visitorscore)+SUMIF('ТУР8'!visitor,AF3,'ТУР8'!homescore)</f>
        <v>44</v>
      </c>
      <c r="AM3" s="87">
        <f t="shared" ref="AM3:AM5" si="2">AK3-AL3</f>
        <v>5</v>
      </c>
      <c r="AN3" s="108">
        <f t="array" ref="AN3">AH3*Options!$B$2+AI3*Options!$B$3+AJ3*Options!$B$4+VLOOKUP(AF3,$E$4:$F$8,2,0)</f>
        <v>48</v>
      </c>
      <c r="AO3" s="88">
        <f t="shared" ref="AO3:AO5" si="3">AK3+AM3*10000+AN3*100000000</f>
        <v>4800050049</v>
      </c>
    </row>
    <row r="4">
      <c r="A4" s="88"/>
      <c r="B4" s="91"/>
      <c r="C4" s="137" t="str">
        <f>'ТУР6'!$C$4</f>
        <v>Руслан С. </v>
      </c>
      <c r="D4" s="138" t="s">
        <v>31</v>
      </c>
      <c r="E4" s="137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41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12</v>
      </c>
      <c r="X4" s="105">
        <f t="array" ref="X4">VLOOKUP($U4,$AF$3:$AN$5,4,0)</f>
        <v>12</v>
      </c>
      <c r="Y4" s="105">
        <f t="array" ref="Y4">VLOOKUP($U4,$AF$3:$AN$5,5,0)</f>
        <v>6</v>
      </c>
      <c r="Z4" s="105">
        <f t="array" ref="Z4">VLOOKUP($U4,$AF$3:$AN$5,6,0)</f>
        <v>49</v>
      </c>
      <c r="AA4" s="105">
        <f t="array" ref="AA4">VLOOKUP($U4,$AF$3:$AN$5,7,0)</f>
        <v>44</v>
      </c>
      <c r="AB4" s="105">
        <f t="array" ref="AB4">VLOOKUP($U4,$AF$3:$AN$5,8,0)</f>
        <v>5</v>
      </c>
      <c r="AC4" s="105">
        <f t="array" ref="AC4">VLOOKUP($U4,$AF$3:$AN$5,9,0)</f>
        <v>48</v>
      </c>
      <c r="AD4" s="28"/>
      <c r="AE4" s="88"/>
      <c r="AF4" s="112" t="str">
        <f t="shared" si="1"/>
        <v>mace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5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14</v>
      </c>
      <c r="AJ4" s="87">
        <f t="array" ref="AJ4">SUM(('ТУР8'!home=AF4)*('ТУР8'!homescore&lt;'ТУР8'!visitorscore),('ТУР8'!visitor=AF4)*('ТУР8'!visitorscore&lt;'ТУР8'!homescore))</f>
        <v>11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46</v>
      </c>
      <c r="AM4" s="87">
        <f t="shared" si="2"/>
        <v>-6</v>
      </c>
      <c r="AN4" s="108">
        <f t="array" ref="AN4">AH4*Options!$B$2+AI4*Options!$B$3+AJ4*Options!$B$4+VLOOKUP(AF4,$E$4:$F$8,2,0)</f>
        <v>29</v>
      </c>
      <c r="AO4" s="88">
        <f t="shared" si="3"/>
        <v>2899940040</v>
      </c>
    </row>
    <row r="5">
      <c r="A5" s="88"/>
      <c r="B5" s="91"/>
      <c r="C5" s="137" t="str">
        <f>'ТУР6'!$C$5</f>
        <v>Тимур А.</v>
      </c>
      <c r="D5" s="138" t="s">
        <v>46</v>
      </c>
      <c r="E5" s="137" t="str">
        <f>'ТУР6'!$E$5</f>
        <v>mace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41"/>
      <c r="U5" s="111" t="str">
        <f t="array" ref="U5">INDEX($AF$3:$AF$5,MATCH(LARGE($AO$3:$AO$5-ROW($AO$3:$AO$5)/COUNT($AO$3:$AO$5),ROW(U5)-ROW(U$4)+1),$AO$3:$AO$5-ROW($AO$3:$AO$5)/COUNT($AO$3:$AO$5),0))</f>
        <v>MBK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12</v>
      </c>
      <c r="Y5" s="105">
        <f t="array" ref="Y5">VLOOKUP($U5,$AF$3:$AN$5,5,0)</f>
        <v>9</v>
      </c>
      <c r="Z5" s="105">
        <f t="array" ref="Z5">VLOOKUP($U5,$AF$3:$AN$5,6,0)</f>
        <v>47</v>
      </c>
      <c r="AA5" s="105">
        <f t="array" ref="AA5">VLOOKUP($U5,$AF$3:$AN$5,7,0)</f>
        <v>46</v>
      </c>
      <c r="AB5" s="105">
        <f t="array" ref="AB5">VLOOKUP($U5,$AF$3:$AN$5,8,0)</f>
        <v>1</v>
      </c>
      <c r="AC5" s="105">
        <f t="array" ref="AC5">VLOOKUP($U5,$AF$3:$AN$5,9,0)</f>
        <v>39</v>
      </c>
      <c r="AD5" s="28"/>
      <c r="AE5" s="88"/>
      <c r="AF5" s="112" t="str">
        <f t="shared" si="1"/>
        <v>MBK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9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9</v>
      </c>
      <c r="AK5" s="108">
        <f t="array" ref="AK5">SUMIF('ТУР8'!home,AF5,'ТУР8'!homescore)+SUMIF('ТУР8'!visitor,AF5,'ТУР8'!visitorscore)</f>
        <v>47</v>
      </c>
      <c r="AL5" s="109">
        <f t="array" ref="AL5">SUMIF('ТУР8'!home,AF5,'ТУР8'!visitorscore)+SUMIF('ТУР8'!visitor,AF5,'ТУР8'!homescore)</f>
        <v>46</v>
      </c>
      <c r="AM5" s="87">
        <f t="shared" si="2"/>
        <v>1</v>
      </c>
      <c r="AN5" s="108">
        <f t="array" ref="AN5">AH5*Options!$B$2+AI5*Options!$B$3+AJ5*Options!$B$4+VLOOKUP(AF5,$E$4:$F$8,2,0)</f>
        <v>39</v>
      </c>
      <c r="AO5" s="88">
        <f t="shared" si="3"/>
        <v>3900010047</v>
      </c>
    </row>
    <row r="6">
      <c r="A6" s="88"/>
      <c r="B6" s="91"/>
      <c r="C6" s="137" t="str">
        <f>'ТУР6'!$C$6</f>
        <v>Дмитрий П.</v>
      </c>
      <c r="D6" s="138" t="s">
        <v>47</v>
      </c>
      <c r="E6" s="137" t="str">
        <f>'ТУР6'!$E$6</f>
        <v>MBK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41"/>
      <c r="U6" s="111" t="str">
        <f t="array" ref="U6">INDEX($AF$3:$AF$5,MATCH(LARGE($AO$3:$AO$5-ROW($AO$3:$AO$5)/COUNT($AO$3:$AO$5),ROW(U6)-ROW(U$4)+1),$AO$3:$AO$5-ROW($AO$3:$AO$5)/COUNT($AO$3:$AO$5),0))</f>
        <v>mace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14</v>
      </c>
      <c r="Y6" s="105">
        <f t="array" ref="Y6">VLOOKUP($U6,$AF$3:$AN$5,5,0)</f>
        <v>11</v>
      </c>
      <c r="Z6" s="105">
        <f t="array" ref="Z6">VLOOKUP($U6,$AF$3:$AN$5,6,0)</f>
        <v>40</v>
      </c>
      <c r="AA6" s="105">
        <f t="array" ref="AA6">VLOOKUP($U6,$AF$3:$AN$5,7,0)</f>
        <v>46</v>
      </c>
      <c r="AB6" s="105">
        <f t="array" ref="AB6">VLOOKUP($U6,$AF$3:$AN$5,8,0)</f>
        <v>-6</v>
      </c>
      <c r="AC6" s="105">
        <f t="array" ref="AC6">VLOOKUP($U6,$AF$3:$AN$5,9,0)</f>
        <v>29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41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41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41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42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41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mace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143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mace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mace</v>
      </c>
      <c r="G13" s="116">
        <f t="shared" si="8"/>
        <v>3</v>
      </c>
      <c r="H13" s="118"/>
      <c r="I13" s="116">
        <f t="shared" si="9"/>
        <v>1</v>
      </c>
      <c r="J13" s="118"/>
      <c r="K13" s="122">
        <v>3.0</v>
      </c>
      <c r="L13" s="126">
        <v>1.0</v>
      </c>
      <c r="M13" s="124"/>
      <c r="N13" s="92"/>
      <c r="O13" s="92"/>
      <c r="P13" s="92"/>
      <c r="Q13" s="92"/>
      <c r="R13" s="92"/>
      <c r="S13" s="92"/>
      <c r="T13" s="143">
        <v>71.0</v>
      </c>
      <c r="U13" s="125" t="str">
        <f t="shared" si="10"/>
        <v>5:04 Bullet shot Cup (Швеция) rio2k  - (Финляндия) mace</v>
      </c>
      <c r="V13" s="88" t="str">
        <f t="shared" si="11"/>
        <v>3:1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mace</v>
      </c>
      <c r="G14" s="116">
        <f t="shared" si="8"/>
        <v>1</v>
      </c>
      <c r="H14" s="118"/>
      <c r="I14" s="116">
        <f t="shared" si="9"/>
        <v>0</v>
      </c>
      <c r="J14" s="118"/>
      <c r="K14" s="122">
        <v>1.0</v>
      </c>
      <c r="L14" s="126">
        <v>0.0</v>
      </c>
      <c r="M14" s="124"/>
      <c r="N14" s="92"/>
      <c r="O14" s="92"/>
      <c r="P14" s="92"/>
      <c r="Q14" s="92"/>
      <c r="R14" s="92"/>
      <c r="S14" s="92"/>
      <c r="T14" s="143">
        <v>72.0</v>
      </c>
      <c r="U14" s="125" t="str">
        <f t="shared" si="10"/>
        <v>5:08 Bullet shot Cup (Швеция) rio2k  - (Финляндия) mace</v>
      </c>
      <c r="V14" s="88" t="str">
        <f t="shared" si="11"/>
        <v>1:0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MBK</v>
      </c>
      <c r="F15" s="118" t="str">
        <f t="shared" si="7"/>
        <v>mace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143">
        <v>73.0</v>
      </c>
      <c r="U15" s="125" t="str">
        <f t="shared" si="10"/>
        <v>5:12 Bullet shot Cup (Чехия) MBK  - (Финляндия) mace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MBK</v>
      </c>
      <c r="F16" s="118" t="str">
        <f t="shared" si="7"/>
        <v>mace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143">
        <v>74.0</v>
      </c>
      <c r="U16" s="125" t="str">
        <f t="shared" si="10"/>
        <v>5:16 Bullet shot Cup (Чехия) MBK  - (Финляндия) mace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MBK</v>
      </c>
      <c r="F17" s="118" t="str">
        <f t="shared" si="7"/>
        <v>mace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43">
        <v>75.0</v>
      </c>
      <c r="U17" s="125" t="str">
        <f t="shared" si="10"/>
        <v>5:20 Bullet shot Cup (Чехия) MBK  - (Финляндия) mace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MBK</v>
      </c>
      <c r="F18" s="118" t="str">
        <f t="shared" ref="F18:F23" si="15">$E$4</f>
        <v>rio2k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43">
        <v>76.0</v>
      </c>
      <c r="U18" s="125" t="str">
        <f t="shared" si="10"/>
        <v>5:24 Bullet shot Cup (Чехия) MBK  - (Швеция) rio2k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MBK</v>
      </c>
      <c r="F19" s="118" t="str">
        <f t="shared" si="15"/>
        <v>rio2k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143">
        <v>77.0</v>
      </c>
      <c r="U19" s="125" t="str">
        <f t="shared" si="10"/>
        <v>5:28 Bullet shot Cup (Чехия) MBK  - (Швеция) rio2k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MBK</v>
      </c>
      <c r="F20" s="118" t="str">
        <f t="shared" si="15"/>
        <v>rio2k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43">
        <v>78.0</v>
      </c>
      <c r="U20" s="125" t="str">
        <f t="shared" si="10"/>
        <v>5:32 Bullet shot Cup (Чехия) MBK  - (Швеция) rio2k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mace</v>
      </c>
      <c r="F21" s="118" t="str">
        <f t="shared" si="15"/>
        <v>rio2k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43">
        <v>79.0</v>
      </c>
      <c r="U21" s="125" t="str">
        <f t="shared" si="10"/>
        <v>5:36 Bullet shot Cup (Финляндия) mace  - (Швеция) rio2k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mace</v>
      </c>
      <c r="F22" s="118" t="str">
        <f t="shared" si="15"/>
        <v>rio2k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43">
        <v>80.0</v>
      </c>
      <c r="U22" s="125" t="str">
        <f t="shared" si="10"/>
        <v>5:40 Bullet shot Cup (Финляндия) mace  - (Швеция) rio2k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mace</v>
      </c>
      <c r="F23" s="118" t="str">
        <f t="shared" si="15"/>
        <v>rio2k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43">
        <v>81.0</v>
      </c>
      <c r="U23" s="125" t="str">
        <f t="shared" si="10"/>
        <v>5:44 Bullet shot Cup (Финляндия) mace  - (Швеция) rio2k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mace</v>
      </c>
      <c r="F24" s="127" t="str">
        <f t="shared" ref="F24:F29" si="20">$E$6</f>
        <v>MBK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143">
        <v>82.0</v>
      </c>
      <c r="U24" s="125" t="str">
        <f t="shared" si="10"/>
        <v>5:48 Bullet shot Cup (Финляндия) mace  - (Чехия) MBK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mace</v>
      </c>
      <c r="F25" s="127" t="str">
        <f t="shared" si="20"/>
        <v>MBK</v>
      </c>
      <c r="G25" s="116">
        <f t="shared" si="8"/>
        <v>3</v>
      </c>
      <c r="H25" s="118"/>
      <c r="I25" s="116">
        <f t="shared" si="21"/>
        <v>3</v>
      </c>
      <c r="J25" s="118"/>
      <c r="K25" s="122">
        <v>3.0</v>
      </c>
      <c r="L25" s="126">
        <v>3.0</v>
      </c>
      <c r="M25" s="92"/>
      <c r="N25" s="92"/>
      <c r="O25" s="92"/>
      <c r="P25" s="92"/>
      <c r="Q25" s="92"/>
      <c r="R25" s="92"/>
      <c r="S25" s="92"/>
      <c r="T25" s="143">
        <v>83.0</v>
      </c>
      <c r="U25" s="125" t="str">
        <f t="shared" si="10"/>
        <v>5:52 Bullet shot Cup (Финляндия) mace  - (Чехия) MBK</v>
      </c>
      <c r="V25" s="88" t="str">
        <f t="shared" si="11"/>
        <v>3:3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mace</v>
      </c>
      <c r="F26" s="127" t="str">
        <f t="shared" si="20"/>
        <v>MBK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43">
        <v>84.0</v>
      </c>
      <c r="U26" s="125" t="str">
        <f t="shared" si="10"/>
        <v>5:56 Bullet shot Cup (Финляндия) mace  - (Чехия) MBK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MBK</v>
      </c>
      <c r="G27" s="116">
        <f t="shared" si="8"/>
        <v>0</v>
      </c>
      <c r="H27" s="118"/>
      <c r="I27" s="116">
        <f t="shared" si="21"/>
        <v>2</v>
      </c>
      <c r="J27" s="118"/>
      <c r="K27" s="122">
        <v>0.0</v>
      </c>
      <c r="L27" s="126">
        <v>2.0</v>
      </c>
      <c r="M27" s="92"/>
      <c r="N27" s="92"/>
      <c r="O27" s="92"/>
      <c r="P27" s="92"/>
      <c r="Q27" s="92"/>
      <c r="R27" s="92"/>
      <c r="S27" s="92"/>
      <c r="T27" s="143">
        <v>85.0</v>
      </c>
      <c r="U27" s="125" t="str">
        <f t="shared" si="10"/>
        <v>6:00 Bullet shot Cup (Швеция) rio2k  - (Чехия) MBK</v>
      </c>
      <c r="V27" s="88" t="str">
        <f t="shared" si="11"/>
        <v>0:2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MBK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43">
        <v>86.0</v>
      </c>
      <c r="U28" s="125" t="str">
        <f t="shared" si="10"/>
        <v>6:04 Bullet shot Cup (Швеция) rio2k  - (Чехия) MBK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MBK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143">
        <v>87.0</v>
      </c>
      <c r="U29" s="125" t="str">
        <f t="shared" si="10"/>
        <v>6:08 Bullet shot Cup (Швеция) rio2k  - (Чехия) MBK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mace</v>
      </c>
      <c r="G30" s="116">
        <f t="shared" si="8"/>
        <v>3</v>
      </c>
      <c r="H30" s="118"/>
      <c r="I30" s="116">
        <f t="shared" si="21"/>
        <v>3</v>
      </c>
      <c r="J30" s="118"/>
      <c r="K30" s="121">
        <v>3.0</v>
      </c>
      <c r="L30" s="123">
        <v>3.0</v>
      </c>
      <c r="M30" s="92"/>
      <c r="N30" s="92"/>
      <c r="O30" s="92"/>
      <c r="P30" s="92"/>
      <c r="Q30" s="92"/>
      <c r="R30" s="92"/>
      <c r="S30" s="92"/>
      <c r="T30" s="143">
        <v>88.0</v>
      </c>
      <c r="U30" s="125" t="str">
        <f t="shared" si="10"/>
        <v>6:12 Bullet shot Cup (Швеция) rio2k  - (Финляндия) mace</v>
      </c>
      <c r="V30" s="88" t="str">
        <f t="shared" si="11"/>
        <v>3:3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mace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143">
        <v>89.0</v>
      </c>
      <c r="U31" s="125" t="str">
        <f t="shared" si="10"/>
        <v>6:16 Bullet shot Cup (Швеция) rio2k  - (Финляндия) mace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mace</v>
      </c>
      <c r="G32" s="116">
        <f t="shared" si="8"/>
        <v>2</v>
      </c>
      <c r="H32" s="118"/>
      <c r="I32" s="116">
        <f t="shared" si="26"/>
        <v>1</v>
      </c>
      <c r="J32" s="118"/>
      <c r="K32" s="122">
        <v>2.0</v>
      </c>
      <c r="L32" s="126">
        <v>1.0</v>
      </c>
      <c r="M32" s="92"/>
      <c r="N32" s="92"/>
      <c r="O32" s="92"/>
      <c r="P32" s="92"/>
      <c r="Q32" s="92"/>
      <c r="R32" s="92"/>
      <c r="S32" s="92"/>
      <c r="T32" s="143">
        <v>90.0</v>
      </c>
      <c r="U32" s="125" t="str">
        <f t="shared" si="10"/>
        <v>6:20 Bullet shot Cup (Швеция) rio2k  - (Финляндия) mace</v>
      </c>
      <c r="V32" s="88" t="str">
        <f t="shared" si="11"/>
        <v>2:1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MBK</v>
      </c>
      <c r="F33" s="118" t="str">
        <f t="shared" si="25"/>
        <v>mace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143">
        <v>91.0</v>
      </c>
      <c r="U33" s="125" t="str">
        <f t="shared" si="10"/>
        <v>6:24 Bullet shot Cup (Чехия) MBK  - (Финляндия) mace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MBK</v>
      </c>
      <c r="F34" s="118" t="str">
        <f t="shared" si="25"/>
        <v>mace</v>
      </c>
      <c r="G34" s="116">
        <f t="shared" si="8"/>
        <v>2</v>
      </c>
      <c r="H34" s="118"/>
      <c r="I34" s="116">
        <f t="shared" si="26"/>
        <v>3</v>
      </c>
      <c r="J34" s="118"/>
      <c r="K34" s="122">
        <v>2.0</v>
      </c>
      <c r="L34" s="126">
        <v>3.0</v>
      </c>
      <c r="M34" s="92"/>
      <c r="N34" s="92"/>
      <c r="O34" s="92"/>
      <c r="P34" s="92"/>
      <c r="Q34" s="92"/>
      <c r="R34" s="92"/>
      <c r="S34" s="92"/>
      <c r="T34" s="143">
        <v>92.0</v>
      </c>
      <c r="U34" s="125" t="str">
        <f t="shared" si="10"/>
        <v>6:28 Bullet shot Cup (Чехия) MBK  - (Финляндия) mace</v>
      </c>
      <c r="V34" s="88" t="str">
        <f t="shared" si="11"/>
        <v>2:3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MBK</v>
      </c>
      <c r="F35" s="118" t="str">
        <f t="shared" si="25"/>
        <v>mace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143">
        <v>93.0</v>
      </c>
      <c r="U35" s="125" t="str">
        <f t="shared" si="10"/>
        <v>6:32 Bullet shot Cup (Чехия) MBK  - (Финляндия) mace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MBK</v>
      </c>
      <c r="F36" s="118" t="str">
        <f t="shared" ref="F36:F41" si="30">$E$4</f>
        <v>rio2k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43">
        <v>94.0</v>
      </c>
      <c r="U36" s="125" t="str">
        <f t="shared" si="10"/>
        <v>6:36 Bullet shot Cup (Чехия) MBK  - (Швеция) rio2k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MBK</v>
      </c>
      <c r="F37" s="118" t="str">
        <f t="shared" si="30"/>
        <v>rio2k</v>
      </c>
      <c r="G37" s="116">
        <f t="shared" si="8"/>
        <v>2</v>
      </c>
      <c r="H37" s="118"/>
      <c r="I37" s="116">
        <f t="shared" si="31"/>
        <v>2</v>
      </c>
      <c r="J37" s="118"/>
      <c r="K37" s="122">
        <v>2.0</v>
      </c>
      <c r="L37" s="126">
        <v>2.0</v>
      </c>
      <c r="M37" s="92"/>
      <c r="N37" s="92"/>
      <c r="O37" s="92"/>
      <c r="P37" s="92"/>
      <c r="Q37" s="92"/>
      <c r="R37" s="92"/>
      <c r="S37" s="92"/>
      <c r="T37" s="143">
        <v>95.0</v>
      </c>
      <c r="U37" s="125" t="str">
        <f t="shared" si="10"/>
        <v>6:40 Bullet shot Cup (Чехия) MBK  - (Швеция) rio2k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MBK</v>
      </c>
      <c r="F38" s="118" t="str">
        <f t="shared" si="30"/>
        <v>rio2k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43">
        <v>96.0</v>
      </c>
      <c r="U38" s="125" t="str">
        <f t="shared" si="10"/>
        <v>6:44 Bullet shot Cup (Чехия) MBK  - (Швеция) rio2k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mace</v>
      </c>
      <c r="F39" s="118" t="str">
        <f t="shared" si="30"/>
        <v>rio2k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143">
        <v>97.0</v>
      </c>
      <c r="U39" s="125" t="str">
        <f t="shared" si="10"/>
        <v>6:48 Bullet shot Cup (Финляндия) mace  - (Швеция) rio2k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mace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143">
        <v>98.0</v>
      </c>
      <c r="U40" s="125" t="str">
        <f t="shared" si="10"/>
        <v>6:52 Bullet shot Cup (Финляндия) mace  - (Швеция) rio2k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mace</v>
      </c>
      <c r="F41" s="118" t="str">
        <f t="shared" si="30"/>
        <v>rio2k</v>
      </c>
      <c r="G41" s="116">
        <f t="shared" si="8"/>
        <v>0</v>
      </c>
      <c r="H41" s="118"/>
      <c r="I41" s="116">
        <f t="shared" si="31"/>
        <v>0</v>
      </c>
      <c r="J41" s="118"/>
      <c r="K41" s="118">
        <v>0.0</v>
      </c>
      <c r="L41" s="118">
        <v>0.0</v>
      </c>
      <c r="M41" s="92"/>
      <c r="N41" s="92"/>
      <c r="O41" s="92"/>
      <c r="P41" s="92"/>
      <c r="Q41" s="92"/>
      <c r="R41" s="92"/>
      <c r="S41" s="92"/>
      <c r="T41" s="143">
        <v>99.0</v>
      </c>
      <c r="U41" s="125" t="str">
        <f t="shared" si="10"/>
        <v>6:56 Bullet shot Cup (Финляндия) mace  - (Швеция) rio2k</v>
      </c>
      <c r="V41" s="88" t="str">
        <f t="shared" si="11"/>
        <v>0:0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mace</v>
      </c>
      <c r="F42" s="118" t="str">
        <f t="shared" ref="F42:F47" si="35">$E$6</f>
        <v>MBK</v>
      </c>
      <c r="G42" s="116">
        <f t="shared" si="8"/>
        <v>0</v>
      </c>
      <c r="H42" s="118"/>
      <c r="I42" s="116">
        <f t="shared" si="31"/>
        <v>1</v>
      </c>
      <c r="J42" s="118"/>
      <c r="K42" s="121">
        <v>0.0</v>
      </c>
      <c r="L42" s="123">
        <v>1.0</v>
      </c>
      <c r="M42" s="92"/>
      <c r="N42" s="92"/>
      <c r="O42" s="92"/>
      <c r="P42" s="92"/>
      <c r="Q42" s="92"/>
      <c r="R42" s="92"/>
      <c r="S42" s="92"/>
      <c r="T42" s="143">
        <v>100.0</v>
      </c>
      <c r="U42" s="125" t="str">
        <f t="shared" si="10"/>
        <v>7:00 Bullet shot Cup (Финляндия) mace  - (Чехия) MBK</v>
      </c>
      <c r="V42" s="88" t="str">
        <f t="shared" si="11"/>
        <v>0:1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mace</v>
      </c>
      <c r="F43" s="118" t="str">
        <f t="shared" si="35"/>
        <v>MBK</v>
      </c>
      <c r="G43" s="116">
        <f t="shared" si="8"/>
        <v>0</v>
      </c>
      <c r="H43" s="118"/>
      <c r="I43" s="116">
        <f t="shared" ref="I43:I47" si="36">SUM(L43,O43)</f>
        <v>1</v>
      </c>
      <c r="J43" s="118"/>
      <c r="K43" s="122">
        <v>0.0</v>
      </c>
      <c r="L43" s="126">
        <v>1.0</v>
      </c>
      <c r="M43" s="92"/>
      <c r="N43" s="92"/>
      <c r="O43" s="92"/>
      <c r="P43" s="92"/>
      <c r="Q43" s="92"/>
      <c r="R43" s="92"/>
      <c r="S43" s="92"/>
      <c r="T43" s="143">
        <v>101.0</v>
      </c>
      <c r="U43" s="125" t="str">
        <f t="shared" si="10"/>
        <v>7:04 Bullet shot Cup (Финляндия) mace  - (Чехия) MBK</v>
      </c>
      <c r="V43" s="88" t="str">
        <f t="shared" si="11"/>
        <v>0:1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mace</v>
      </c>
      <c r="F44" s="118" t="str">
        <f t="shared" si="35"/>
        <v>MBK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43">
        <v>102.0</v>
      </c>
      <c r="U44" s="125" t="str">
        <f t="shared" si="10"/>
        <v>7:08 Bullet shot Cup (Финляндия) mace  - (Чехия) MBK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MBK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143">
        <v>103.0</v>
      </c>
      <c r="U45" s="125" t="str">
        <f t="shared" si="10"/>
        <v>7:12 Bullet shot Cup (Швеция) rio2k  - (Чехия) MBK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MBK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43">
        <v>104.0</v>
      </c>
      <c r="U46" s="125" t="str">
        <f t="shared" si="10"/>
        <v>7:16 Bullet shot Cup (Швеция) rio2k  - (Чехия) MBK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MBK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43">
        <v>105.0</v>
      </c>
      <c r="U47" s="125" t="str">
        <f t="shared" si="10"/>
        <v>7:20 Bullet shot Cup (Швеция) rio2k  - (Чехия) MBK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mace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143">
        <v>106.0</v>
      </c>
      <c r="U48" s="125" t="str">
        <f t="shared" si="10"/>
        <v>7:24 Bullet shot Cup (Швеция) rio2k  - (Финляндия) mace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mace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43">
        <v>107.0</v>
      </c>
      <c r="U49" s="125" t="str">
        <f t="shared" si="10"/>
        <v>7:28 Bullet shot Cup (Швеция) rio2k  - (Финляндия) mace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mace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43">
        <v>108.0</v>
      </c>
      <c r="U50" s="125" t="str">
        <f t="shared" si="10"/>
        <v>7:32 Bullet shot Cup (Швеция) rio2k  - (Финляндия) mace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MBK</v>
      </c>
      <c r="F51" s="118" t="str">
        <f t="shared" si="40"/>
        <v>mace</v>
      </c>
      <c r="G51" s="116">
        <f t="shared" si="8"/>
        <v>3</v>
      </c>
      <c r="H51" s="118"/>
      <c r="I51" s="116">
        <f t="shared" si="41"/>
        <v>2</v>
      </c>
      <c r="J51" s="118"/>
      <c r="K51" s="122">
        <v>3.0</v>
      </c>
      <c r="L51" s="126">
        <v>2.0</v>
      </c>
      <c r="M51" s="88"/>
      <c r="N51" s="88"/>
      <c r="O51" s="88"/>
      <c r="P51" s="88"/>
      <c r="Q51" s="88"/>
      <c r="R51" s="88"/>
      <c r="S51" s="88"/>
      <c r="T51" s="143">
        <v>109.0</v>
      </c>
      <c r="U51" s="125" t="str">
        <f t="shared" si="10"/>
        <v>7:36 Bullet shot Cup (Чехия) MBK  - (Финляндия) mace</v>
      </c>
      <c r="V51" s="88" t="str">
        <f t="shared" si="11"/>
        <v>3:2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MBK</v>
      </c>
      <c r="F52" s="118" t="str">
        <f t="shared" si="40"/>
        <v>mace</v>
      </c>
      <c r="G52" s="116">
        <f t="shared" si="8"/>
        <v>0</v>
      </c>
      <c r="H52" s="118"/>
      <c r="I52" s="116">
        <f t="shared" si="41"/>
        <v>2</v>
      </c>
      <c r="J52" s="118"/>
      <c r="K52" s="122">
        <v>0.0</v>
      </c>
      <c r="L52" s="126">
        <v>2.0</v>
      </c>
      <c r="M52" s="88"/>
      <c r="N52" s="88"/>
      <c r="O52" s="88"/>
      <c r="P52" s="88"/>
      <c r="Q52" s="88"/>
      <c r="R52" s="88"/>
      <c r="S52" s="88"/>
      <c r="T52" s="143">
        <v>110.0</v>
      </c>
      <c r="U52" s="125" t="str">
        <f t="shared" si="10"/>
        <v>7:40 Bullet shot Cup (Чехия) MBK  - (Финляндия) mace</v>
      </c>
      <c r="V52" s="88" t="str">
        <f t="shared" si="11"/>
        <v>0:2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MBK</v>
      </c>
      <c r="F53" s="118" t="str">
        <f t="shared" si="40"/>
        <v>mace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143">
        <v>111.0</v>
      </c>
      <c r="U53" s="125" t="str">
        <f t="shared" si="10"/>
        <v>7:44 Bullet shot Cup (Чехия) MBK  - (Финляндия) mace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MBK</v>
      </c>
      <c r="F54" s="118" t="str">
        <f t="shared" ref="F54:F56" si="45">$E$4</f>
        <v>rio2k</v>
      </c>
      <c r="G54" s="116">
        <f t="shared" si="8"/>
        <v>3</v>
      </c>
      <c r="H54" s="118"/>
      <c r="I54" s="116">
        <f t="shared" ref="I54:I56" si="46">SUM(L54)</f>
        <v>1</v>
      </c>
      <c r="J54" s="118"/>
      <c r="K54" s="121">
        <v>3.0</v>
      </c>
      <c r="L54" s="123">
        <v>1.0</v>
      </c>
      <c r="M54" s="88"/>
      <c r="N54" s="88"/>
      <c r="O54" s="88"/>
      <c r="P54" s="88"/>
      <c r="Q54" s="88"/>
      <c r="R54" s="88"/>
      <c r="S54" s="88"/>
      <c r="T54" s="143">
        <v>112.0</v>
      </c>
      <c r="U54" s="125" t="str">
        <f t="shared" si="10"/>
        <v>7:48 Bullet shot Cup (Чехия) MBK  - (Швеция) rio2k</v>
      </c>
      <c r="V54" s="88" t="str">
        <f t="shared" si="11"/>
        <v>3:1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MBK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3</v>
      </c>
      <c r="J55" s="118"/>
      <c r="K55" s="122">
        <v>2.0</v>
      </c>
      <c r="L55" s="126">
        <v>3.0</v>
      </c>
      <c r="M55" s="88"/>
      <c r="N55" s="88"/>
      <c r="O55" s="88"/>
      <c r="P55" s="88"/>
      <c r="Q55" s="88"/>
      <c r="R55" s="88"/>
      <c r="S55" s="88"/>
      <c r="T55" s="143">
        <v>113.0</v>
      </c>
      <c r="U55" s="125" t="str">
        <f t="shared" si="10"/>
        <v>7:52 Bullet shot Cup (Чехия) MBK  - (Швеция) rio2k</v>
      </c>
      <c r="V55" s="88" t="str">
        <f t="shared" si="11"/>
        <v>2:3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MBK</v>
      </c>
      <c r="F56" s="118" t="str">
        <f t="shared" si="45"/>
        <v>rio2k</v>
      </c>
      <c r="G56" s="116">
        <f t="shared" si="8"/>
        <v>3</v>
      </c>
      <c r="H56" s="118"/>
      <c r="I56" s="116">
        <f t="shared" si="46"/>
        <v>1</v>
      </c>
      <c r="J56" s="118"/>
      <c r="K56" s="122">
        <v>3.0</v>
      </c>
      <c r="L56" s="126">
        <v>1.0</v>
      </c>
      <c r="M56" s="88"/>
      <c r="N56" s="88"/>
      <c r="O56" s="88"/>
      <c r="P56" s="88"/>
      <c r="Q56" s="88"/>
      <c r="R56" s="88"/>
      <c r="S56" s="88"/>
      <c r="T56" s="143">
        <v>114.0</v>
      </c>
      <c r="U56" s="125" t="str">
        <f t="shared" si="10"/>
        <v>7:56 Bullet shot Cup (Чехия) MBK  - (Швеция) rio2k</v>
      </c>
      <c r="V56" s="88" t="str">
        <f t="shared" si="11"/>
        <v>3:1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43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43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43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43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43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43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43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43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43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43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43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43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43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43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43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43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43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43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43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43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43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43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43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43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43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43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43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43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43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43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43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43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43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43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43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43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43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43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43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43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43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43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43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43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43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43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43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43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43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43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43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43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43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43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43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43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43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43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43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43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43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43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43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43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43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43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43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43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43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43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43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43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43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43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43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43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43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43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43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43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43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43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43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43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43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43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43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43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43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43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43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43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43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43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43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43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43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43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43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43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43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43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43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43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43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43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43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43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43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43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43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43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43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43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43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43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43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43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43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43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43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43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43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43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43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43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43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43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43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43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43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43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43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43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43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43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43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43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43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43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43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43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43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43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43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43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43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43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43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43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43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43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43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43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43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43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43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43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43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43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43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43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43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43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43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43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43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43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43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43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4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5" t="s">
        <v>72</v>
      </c>
      <c r="B2" s="146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6" t="s">
        <v>73</v>
      </c>
      <c r="B3" s="146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6" t="s">
        <v>74</v>
      </c>
      <c r="B4" s="146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