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АВТОМАТИЗАЦИЯ" sheetId="9" r:id="rId12"/>
    <sheet state="visible" name="Options" sheetId="10" r:id="rId13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4" roundtripDataChecksum="SmQg3wLaTsxSM3J0I24L33xcxOUxt4SXxpO9oOj+8QA="/>
    </ext>
  </extLst>
</workbook>
</file>

<file path=xl/sharedStrings.xml><?xml version="1.0" encoding="utf-8"?>
<sst xmlns="http://schemas.openxmlformats.org/spreadsheetml/2006/main" count="402" uniqueCount="74">
  <si>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</si>
  <si>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</si>
  <si>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</si>
  <si>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</si>
  <si>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</si>
  <si>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</si>
  <si>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</si>
  <si>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</si>
  <si>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</si>
  <si>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</si>
  <si>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</si>
  <si>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</si>
  <si>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</si>
  <si>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</si>
  <si>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</si>
  <si>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</si>
  <si>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</si>
  <si>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</si>
  <si>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</si>
  <si>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</si>
  <si>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</si>
  <si>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</si>
  <si>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</si>
  <si>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</si>
  <si>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Эмиль С.</t>
  </si>
  <si>
    <t>Канада</t>
  </si>
  <si>
    <t>Emqa</t>
  </si>
  <si>
    <t>Адис А.</t>
  </si>
  <si>
    <t>США</t>
  </si>
  <si>
    <t>Adisey95</t>
  </si>
  <si>
    <t>Ренат И.</t>
  </si>
  <si>
    <t>Швеция</t>
  </si>
  <si>
    <t>Slippers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</si>
  <si>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</si>
  <si>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</si>
  <si>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</si>
  <si>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</si>
  <si>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</si>
  <si>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</si>
  <si>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</si>
  <si>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</si>
  <si>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</si>
  <si>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</si>
  <si>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</si>
  <si>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</si>
  <si>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</si>
  <si>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</si>
  <si>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</si>
  <si>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</si>
  <si>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</si>
  <si>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</si>
  <si>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</si>
  <si>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Руслан С. </t>
  </si>
  <si>
    <t>Швейцария</t>
  </si>
  <si>
    <t>rio2k</t>
  </si>
  <si>
    <t>Дмитрий П.</t>
  </si>
  <si>
    <t>MBK</t>
  </si>
  <si>
    <t xml:space="preserve">Илья Я. </t>
  </si>
  <si>
    <t>Deqim</t>
  </si>
  <si>
    <t>ТУР4</t>
  </si>
  <si>
    <t>ТУР5</t>
  </si>
  <si>
    <t>ТУР6</t>
  </si>
  <si>
    <t>Евгений Б.</t>
  </si>
  <si>
    <t>Handzus</t>
  </si>
  <si>
    <t>Михаил Ж.</t>
  </si>
  <si>
    <t>YOSEN</t>
  </si>
  <si>
    <t xml:space="preserve">Вильдан А. </t>
  </si>
  <si>
    <t>AVTOMAT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</si>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</sst>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/>
    </xf>
    <xf borderId="6" fillId="2" fontId="6" numFmtId="165" xfId="0" applyAlignment="1" applyBorder="1" applyFont="1" applyNumberFormat="1">
      <alignment horizontal="center"/>
    </xf>
    <xf borderId="6" fillId="3" fontId="14" numFmtId="164" xfId="0" applyAlignment="1" applyBorder="1" applyFont="1" applyNumberFormat="1">
      <alignment vertical="bottom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45697.0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12</v>
      </c>
      <c r="AJ3" s="27">
        <f t="array" ref="AJ3">SUM(('ТУР1'!home=AF3)*(homescore&lt;visitorscore),(visitor=AF3)*(visitorscore&lt;homescore))</f>
        <v>4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26</v>
      </c>
      <c r="AM3" s="27">
        <f t="shared" ref="AM3:AM5" si="2">AK3-AL3</f>
        <v>14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4800140040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12</v>
      </c>
      <c r="Y4" s="20">
        <f t="array" ref="Y4">VLOOKUP($U4,$AF$3:$AN$5,5,0)</f>
        <v>4</v>
      </c>
      <c r="Z4" s="20">
        <f t="array" ref="Z4">VLOOKUP($U4,$AF$3:$AN$5,6,0)</f>
        <v>40</v>
      </c>
      <c r="AA4" s="20">
        <f t="array" ref="AA4">VLOOKUP($U4,$AF$3:$AN$5,7,0)</f>
        <v>26</v>
      </c>
      <c r="AB4" s="20">
        <f t="array" ref="AB4">VLOOKUP($U4,$AF$3:$AN$5,8,0)</f>
        <v>14</v>
      </c>
      <c r="AC4" s="20">
        <f t="array" ref="AC4">VLOOKUP($U4,$AF$3:$AN$5,9,0)</f>
        <v>48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11</v>
      </c>
      <c r="AK4" s="22">
        <f t="array" ref="AK4">SUMIF('ТУР1'!home,AF4,homescore)+SUMIF(visitor,AF4,visitorscore)</f>
        <v>26</v>
      </c>
      <c r="AL4" s="27">
        <f t="array" ref="AL4">SUMIF('ТУР1'!home,AF4,visitorscore)+SUMIF(visitor,AF4,homescore)</f>
        <v>30</v>
      </c>
      <c r="AM4" s="27">
        <f t="shared" si="2"/>
        <v>-4</v>
      </c>
      <c r="AN4" s="22">
        <f t="array" ref="AN4">AH4*Options!$B$2+AI4*Options!$B$3+AJ4*Options!$B$4+VLOOKUP(AF4,$E$4:$F$8,2,0)</f>
        <v>33</v>
      </c>
      <c r="AO4" s="28">
        <f t="shared" si="3"/>
        <v>3299960026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26</v>
      </c>
      <c r="AA5" s="20">
        <f t="array" ref="AA5">VLOOKUP($U5,$AF$3:$AN$5,7,0)</f>
        <v>30</v>
      </c>
      <c r="AB5" s="20">
        <f t="array" ref="AB5">VLOOKUP($U5,$AF$3:$AN$5,8,0)</f>
        <v>-4</v>
      </c>
      <c r="AC5" s="20">
        <f t="array" ref="AC5">VLOOKUP($U5,$AF$3:$AN$5,9,0)</f>
        <v>33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8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27</v>
      </c>
      <c r="AL5" s="27">
        <f t="array" ref="AL5">SUMIF('ТУР1'!home,AF5,visitorscore)+SUMIF(visitor,AF5,homescore)</f>
        <v>37</v>
      </c>
      <c r="AM5" s="27">
        <f t="shared" si="2"/>
        <v>-10</v>
      </c>
      <c r="AN5" s="22">
        <f t="array" ref="AN5">AH5*Options!$B$2+AI5*Options!$B$3+AJ5*Options!$B$4+VLOOKUP(AF5,$E$4:$F$8,2,0)</f>
        <v>31</v>
      </c>
      <c r="AO5" s="28">
        <f t="shared" si="3"/>
        <v>3099900027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27</v>
      </c>
      <c r="AA6" s="20">
        <f t="array" ref="AA6">VLOOKUP($U6,$AF$3:$AN$5,7,0)</f>
        <v>37</v>
      </c>
      <c r="AB6" s="20">
        <f t="array" ref="AB6">VLOOKUP($U6,$AF$3:$AN$5,8,0)</f>
        <v>-10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Emqa  - (США) Adisey95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Emqa  - (США) Adisey95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Emqa  - (США) Adisey95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Slippers  - (США) Adisey95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Slippers  - (США) Adisey95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Slippers  - (США) Adisey95</v>
      </c>
      <c r="V17" s="12" t="str">
        <f t="shared" si="11"/>
        <v>1:0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Slippers  - (Канада) Emqa</v>
      </c>
      <c r="V18" s="12" t="str">
        <f t="shared" si="11"/>
        <v>2:0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Emqa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Slippers  - (Канада) Emqa</v>
      </c>
      <c r="V19" s="12" t="str">
        <f t="shared" si="11"/>
        <v>0:0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Slippers  - (Канада) Emqa</v>
      </c>
      <c r="V20" s="12" t="str">
        <f t="shared" si="11"/>
        <v>2:3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Adisey95  - (Канада) Emqa</v>
      </c>
      <c r="V21" s="12" t="str">
        <f t="shared" si="11"/>
        <v>2:1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Adisey95  - (Канада) Emqa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Adisey95  - (Канада) Emqa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Adisey95  - (Швеция) Slippers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3</v>
      </c>
      <c r="H25" s="19"/>
      <c r="I25" s="40">
        <f t="shared" si="21"/>
        <v>2</v>
      </c>
      <c r="J25" s="19"/>
      <c r="K25" s="47">
        <v>3.0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Adisey95  - (Швеция) Slippers</v>
      </c>
      <c r="V25" s="12" t="str">
        <f t="shared" si="11"/>
        <v>3:2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Slippers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Adisey95  - (Швеция) Slippers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Slippers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Emqa  - (Швеция) Slippers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Emqa  - (Швеция) Slippers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Emqa  - (Швеция) Slippers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0</v>
      </c>
      <c r="H30" s="19"/>
      <c r="I30" s="40">
        <f t="shared" si="21"/>
        <v>0</v>
      </c>
      <c r="J30" s="19"/>
      <c r="K30" s="47">
        <v>0.0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Emqa  - (США) Adisey95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Emqa  - (США)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0</v>
      </c>
      <c r="H32" s="19"/>
      <c r="I32" s="40">
        <f t="shared" si="26"/>
        <v>0</v>
      </c>
      <c r="J32" s="19"/>
      <c r="K32" s="47">
        <v>0.0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Emqa  - (США) Adisey95</v>
      </c>
      <c r="V32" s="12" t="str">
        <f t="shared" si="11"/>
        <v>0:0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Slippers  - (США) Adisey95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Slippers  - (США) Adisey95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Slippers  - (США) Adisey95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Emqa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Slippers  - (Канада) Emqa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Emqa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Slippers  - (Канада) Emqa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Slippers  - (Канада)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Adisey95  - (Канада) Emqa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Adisey95  - (Канада) Emqa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Adisey95  - (Канада) Emqa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Adisey95  - (Швеция) Slippers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Adisey95  - (Швеция) Slippers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Adisey95  - (Швеция) Slippers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Emqa  - (Швеция) Slippers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Slippers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Emqa  - (Швеция) Slippers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Emqa  - (Швеция) Slippers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Emqa  - (США) Adisey95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Emqa  - (США)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Slippers  - (США) Adisey95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Slippers  - (США) Adisey95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Emqa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Slippers  - (Канада) Emqa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Emqa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Slippers  - (Канада) Emqa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9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13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38</v>
      </c>
      <c r="AL3" s="27">
        <f t="array" ref="AL3">SUMIF('ТУР1'!home,AF3,'ТУР2'!visitorscore)+SUMIF('ТУР2'!visitor,AF3,'ТУР2'!homescore)</f>
        <v>34</v>
      </c>
      <c r="AM3" s="27">
        <f t="shared" ref="AM3:AM5" si="2">AK3-AL3</f>
        <v>4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4000040038</v>
      </c>
    </row>
    <row r="4">
      <c r="A4" s="12"/>
      <c r="B4" s="12"/>
      <c r="C4" s="60" t="str">
        <f>'ТУР1'!$C$4</f>
        <v>Эмиль С.</v>
      </c>
      <c r="D4" s="61" t="s">
        <v>46</v>
      </c>
      <c r="E4" s="60" t="str">
        <f>'ТУР1'!$E$4</f>
        <v>Emqa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13</v>
      </c>
      <c r="Y4" s="20">
        <f t="array" ref="Y4">VLOOKUP($U4,$AF$3:$AN$5,5,0)</f>
        <v>6</v>
      </c>
      <c r="Z4" s="20">
        <f t="array" ref="Z4">VLOOKUP($U4,$AF$3:$AN$5,6,0)</f>
        <v>38</v>
      </c>
      <c r="AA4" s="20">
        <f t="array" ref="AA4">VLOOKUP($U4,$AF$3:$AN$5,7,0)</f>
        <v>34</v>
      </c>
      <c r="AB4" s="20">
        <f t="array" ref="AB4">VLOOKUP($U4,$AF$3:$AN$5,8,0)</f>
        <v>4</v>
      </c>
      <c r="AC4" s="20">
        <f t="array" ref="AC4">VLOOKUP($U4,$AF$3:$AN$5,9,0)</f>
        <v>40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14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34</v>
      </c>
      <c r="AL4" s="27">
        <f t="array" ref="AL4">SUMIF('ТУР1'!home,AF4,'ТУР2'!visitorscore)+SUMIF('ТУР2'!visitor,AF4,'ТУР2'!homescore)</f>
        <v>36</v>
      </c>
      <c r="AM4" s="27">
        <f t="shared" si="2"/>
        <v>-2</v>
      </c>
      <c r="AN4" s="22">
        <f t="array" ref="AN4">AH4*Options!$B$2+AI4*Options!$B$3+AJ4*Options!$B$4+VLOOKUP(AF4,$E$4:$F$8,2,0)</f>
        <v>32</v>
      </c>
      <c r="AO4" s="28">
        <f t="shared" si="3"/>
        <v>3199980034</v>
      </c>
    </row>
    <row r="5">
      <c r="A5" s="12"/>
      <c r="B5" s="12"/>
      <c r="C5" s="60" t="str">
        <f>'ТУР1'!$C$5</f>
        <v>Адис А.</v>
      </c>
      <c r="D5" s="61" t="s">
        <v>47</v>
      </c>
      <c r="E5" s="60" t="str">
        <f>'ТУР1'!$E$5</f>
        <v>Adisey95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15</v>
      </c>
      <c r="Y5" s="20">
        <f t="array" ref="Y5">VLOOKUP($U5,$AF$3:$AN$5,5,0)</f>
        <v>7</v>
      </c>
      <c r="Z5" s="20">
        <f t="array" ref="Z5">VLOOKUP($U5,$AF$3:$AN$5,6,0)</f>
        <v>35</v>
      </c>
      <c r="AA5" s="20">
        <f t="array" ref="AA5">VLOOKUP($U5,$AF$3:$AN$5,7,0)</f>
        <v>37</v>
      </c>
      <c r="AB5" s="20">
        <f t="array" ref="AB5">VLOOKUP($U5,$AF$3:$AN$5,8,0)</f>
        <v>-2</v>
      </c>
      <c r="AC5" s="20">
        <f t="array" ref="AC5">VLOOKUP($U5,$AF$3:$AN$5,9,0)</f>
        <v>33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15</v>
      </c>
      <c r="AJ5" s="27">
        <f t="array" ref="AJ5">SUM(('ТУР1'!home=AF5)*('ТУР2'!homescore&lt;'ТУР2'!visitorscore),('ТУР2'!visitor=AF5)*('ТУР2'!visitorscore&lt;'ТУР2'!homescore))</f>
        <v>7</v>
      </c>
      <c r="AK5" s="22">
        <f t="array" ref="AK5">SUMIF('ТУР1'!home,AF5,'ТУР2'!homescore)+SUMIF('ТУР2'!visitor,AF5,'ТУР2'!visitorscore)</f>
        <v>35</v>
      </c>
      <c r="AL5" s="27">
        <f t="array" ref="AL5">SUMIF('ТУР1'!home,AF5,'ТУР2'!visitorscore)+SUMIF('ТУР2'!visitor,AF5,'ТУР2'!homescore)</f>
        <v>37</v>
      </c>
      <c r="AM5" s="27">
        <f t="shared" si="2"/>
        <v>-2</v>
      </c>
      <c r="AN5" s="22">
        <f t="array" ref="AN5">AH5*Options!$B$2+AI5*Options!$B$3+AJ5*Options!$B$4+VLOOKUP(AF5,$E$4:$F$8,2,0)</f>
        <v>33</v>
      </c>
      <c r="AO5" s="28">
        <f t="shared" si="3"/>
        <v>3299980035</v>
      </c>
    </row>
    <row r="6">
      <c r="A6" s="12"/>
      <c r="B6" s="12"/>
      <c r="C6" s="60" t="str">
        <f>'ТУР1'!$C$6</f>
        <v>Ренат И.</v>
      </c>
      <c r="D6" s="61" t="s">
        <v>48</v>
      </c>
      <c r="E6" s="60" t="str">
        <f>'ТУР1'!$E$6</f>
        <v>Slippers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14</v>
      </c>
      <c r="Y6" s="20">
        <f t="array" ref="Y6">VLOOKUP($U6,$AF$3:$AN$5,5,0)</f>
        <v>8</v>
      </c>
      <c r="Z6" s="20">
        <f t="array" ref="Z6">VLOOKUP($U6,$AF$3:$AN$5,6,0)</f>
        <v>34</v>
      </c>
      <c r="AA6" s="20">
        <f t="array" ref="AA6">VLOOKUP($U6,$AF$3:$AN$5,7,0)</f>
        <v>36</v>
      </c>
      <c r="AB6" s="20">
        <f t="array" ref="AB6">VLOOKUP($U6,$AF$3:$AN$5,8,0)</f>
        <v>-2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Emqa  - (Чехия) Adisey95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Emqa</v>
      </c>
      <c r="F13" s="47" t="str">
        <f t="shared" si="7"/>
        <v>Adisey95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Emqa  - (Чехия) Adisey95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Emqa</v>
      </c>
      <c r="F14" s="47" t="str">
        <f t="shared" si="7"/>
        <v>Adisey95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Emqa  - (Чехия) Adisey95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0</v>
      </c>
      <c r="H15" s="19"/>
      <c r="I15" s="40">
        <f t="shared" si="9"/>
        <v>0</v>
      </c>
      <c r="J15" s="19"/>
      <c r="K15" s="47">
        <v>0.0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Slippers  - (Чехия) Adisey95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Slippers  - (Чехия) Adisey95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Slippers  - (Чехия) Adisey95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Slippers  - (Финляндия) Emqa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Slippers  - (Финляндия) Emqa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Slippers  - (Финляндия) Emqa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0</v>
      </c>
      <c r="H21" s="19"/>
      <c r="I21" s="40">
        <f t="shared" si="16"/>
        <v>0</v>
      </c>
      <c r="J21" s="19" t="s">
        <v>0</v>
      </c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Adisey95  - (Финляндия) Emqa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Adisey95  - (Финляндия) Emqa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Adisey95  - (Финляндия) Emqa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Adisey95</v>
      </c>
      <c r="F24" s="65" t="str">
        <f t="shared" ref="F24:F29" si="20">$E$6</f>
        <v>Slippers</v>
      </c>
      <c r="G24" s="66">
        <f t="shared" si="8"/>
        <v>2</v>
      </c>
      <c r="H24" s="67"/>
      <c r="I24" s="66">
        <f t="shared" ref="I24:I30" si="21">SUM(L24)</f>
        <v>1</v>
      </c>
      <c r="J24" s="67"/>
      <c r="K24" s="47">
        <v>2.0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Adisey95  - (Германия) Slippers</v>
      </c>
      <c r="V24" s="68" t="str">
        <f t="shared" si="11"/>
        <v>2:1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Adisey95  - (Германия) Slippers</v>
      </c>
      <c r="V25" s="12" t="str">
        <f t="shared" si="11"/>
        <v>2:0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Adisey95</v>
      </c>
      <c r="F26" s="51" t="str">
        <f t="shared" si="20"/>
        <v>Slippers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Adisey95  - (Германия) Slippers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Emqa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Emqa  - (Германия) Slippers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Emqa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Emqa  - (Германия) Slippers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Emqa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Emqa  - (Германия) Slippers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Emqa  - (Чехия) Adisey95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Emqa</v>
      </c>
      <c r="F31" s="47" t="str">
        <f t="shared" si="25"/>
        <v>Adisey95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Emqa  - (Чехия) Adisey95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Emqa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Emqa  - (Чехия) Adisey95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Slippers  - (Чехия) Adisey95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Slippers  - (Чехия) Adisey95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Slippers  - (Чехия) Adisey95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7" t="str">
        <f t="shared" ref="F36:F41" si="30">$E$4</f>
        <v>Emqa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Slippers  - (Финляндия) Emqa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7" t="str">
        <f t="shared" si="30"/>
        <v>Emqa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Slippers  - (Финляндия) Emqa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7" t="str">
        <f t="shared" si="30"/>
        <v>Emqa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Slippers  - (Финляндия) Emqa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Adisey95  - (Финляндия)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Adisey95  - (Финляндия)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Adisey95  - (Финляндия) Emqa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Adisey95  - (Германия) Slippers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Adisey95  - (Германия) Slippers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Adisey95  - (Германия) Slippers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Emqa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Emqa  - (Германия) Slippers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Emqa</v>
      </c>
      <c r="F46" s="47" t="str">
        <f t="shared" si="35"/>
        <v>Slippers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Emqa  - (Германия) Slippers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Emqa</v>
      </c>
      <c r="F47" s="47" t="str">
        <f t="shared" si="35"/>
        <v>Slippers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Emqa  - (Германия) Slippers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Emqa  - (Чехия) Adisey95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Emqa</v>
      </c>
      <c r="F49" s="47" t="str">
        <f t="shared" si="40"/>
        <v>Adisey95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Emqa  - (Чехия) Adisey95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Slippers  - (Чехия) Adisey95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Slippers  - (Чехия) Adisey95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Slippers  - (Финляндия) Emqa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7" t="str">
        <f t="shared" si="45"/>
        <v>Emqa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Slippers  - (Финляндия) Emqa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14</v>
      </c>
      <c r="AK3" s="22">
        <f t="array" ref="AK3">SUMIF('ТУР3'!home,AF3,'ТУР3'!homescore)+SUMIF('ТУР3'!visitor,AF3,'ТУР3'!visitorscore)</f>
        <v>33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-11</v>
      </c>
      <c r="AN3" s="22">
        <f t="array" ref="AN3">AH3*Options!$B$2+AI3*Options!$B$3+AJ3*Options!$B$4+VLOOKUP(AF3,$E$4:$F$8,2,0)</f>
        <v>28</v>
      </c>
      <c r="AO3" s="28">
        <f t="shared" ref="AO3:AO5" si="3">AK3+AM3*10000+AN3*100000000</f>
        <v>2799890033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6</v>
      </c>
      <c r="Y4" s="20">
        <f t="array" ref="Y4">VLOOKUP($U4,$AF$3:$AN$5,5,0)</f>
        <v>6</v>
      </c>
      <c r="Z4" s="20">
        <f t="array" ref="Z4">VLOOKUP($U4,$AF$3:$AN$5,6,0)</f>
        <v>46</v>
      </c>
      <c r="AA4" s="20">
        <f t="array" ref="AA4">VLOOKUP($U4,$AF$3:$AN$5,7,0)</f>
        <v>31</v>
      </c>
      <c r="AB4" s="20">
        <f t="array" ref="AB4">VLOOKUP($U4,$AF$3:$AN$5,8,0)</f>
        <v>15</v>
      </c>
      <c r="AC4" s="20">
        <f t="array" ref="AC4">VLOOKUP($U4,$AF$3:$AN$5,9,0)</f>
        <v>54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16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27">
        <f t="array" ref="AJ4">SUM(('ТУР3'!home=AF4)*('ТУР3'!homescore&lt;'ТУР3'!visitorscore),('ТУР3'!visitor=AF4)*('ТУР3'!visitorscore&lt;'ТУР3'!homescore))</f>
        <v>6</v>
      </c>
      <c r="AK4" s="22">
        <f t="array" ref="AK4">SUMIF('ТУР3'!home,AF4,'ТУР3'!homescore)+SUMIF('ТУР3'!visitor,AF4,'ТУР3'!visitorscore)</f>
        <v>46</v>
      </c>
      <c r="AL4" s="27">
        <f t="array" ref="AL4">SUMIF('ТУР3'!home,AF4,'ТУР3'!visitorscore)+SUMIF('ТУР3'!visitor,AF4,'ТУР3'!homescore)</f>
        <v>31</v>
      </c>
      <c r="AM4" s="27">
        <f t="shared" si="2"/>
        <v>15</v>
      </c>
      <c r="AN4" s="22">
        <f t="array" ref="AN4">AH4*Options!$B$2+AI4*Options!$B$3+AJ4*Options!$B$4+VLOOKUP(AF4,$E$4:$F$8,2,0)</f>
        <v>54</v>
      </c>
      <c r="AO4" s="28">
        <f t="shared" si="3"/>
        <v>5400150046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5</v>
      </c>
      <c r="Y5" s="20">
        <f t="array" ref="Y5">VLOOKUP($U5,$AF$3:$AN$5,5,0)</f>
        <v>13</v>
      </c>
      <c r="Z5" s="20">
        <f t="array" ref="Z5">VLOOKUP($U5,$AF$3:$AN$5,6,0)</f>
        <v>41</v>
      </c>
      <c r="AA5" s="20">
        <f t="array" ref="AA5">VLOOKUP($U5,$AF$3:$AN$5,7,0)</f>
        <v>45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27">
        <f t="array" ref="AJ5">SUM(('ТУР3'!home=AF5)*('ТУР3'!homescore&lt;'ТУР3'!visitorscore),('ТУР3'!visitor=AF5)*('ТУР3'!visitorscore&lt;'ТУР3'!homescore))</f>
        <v>13</v>
      </c>
      <c r="AK5" s="22">
        <f t="array" ref="AK5">SUMIF('ТУР3'!home,AF5,'ТУР3'!homescore)+SUMIF('ТУР3'!visitor,AF5,'ТУР3'!visitorscore)</f>
        <v>41</v>
      </c>
      <c r="AL5" s="27">
        <f t="array" ref="AL5">SUMIF('ТУР3'!home,AF5,'ТУР3'!visitorscore)+SUMIF('ТУР3'!visitor,AF5,'ТУР3'!homescore)</f>
        <v>45</v>
      </c>
      <c r="AM5" s="27">
        <f t="shared" si="2"/>
        <v>-4</v>
      </c>
      <c r="AN5" s="22">
        <f t="array" ref="AN5">AH5*Options!$B$2+AI5*Options!$B$3+AJ5*Options!$B$4+VLOOKUP(AF5,$E$4:$F$8,2,0)</f>
        <v>35</v>
      </c>
      <c r="AO5" s="28">
        <f t="shared" si="3"/>
        <v>3499960041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33</v>
      </c>
      <c r="AA6" s="20">
        <f t="array" ref="AA6">VLOOKUP($U6,$AF$3:$AN$5,7,0)</f>
        <v>44</v>
      </c>
      <c r="AB6" s="20">
        <f t="array" ref="AB6">VLOOKUP($U6,$AF$3:$AN$5,8,0)</f>
        <v>-11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rio2k  - (Канада) MBK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rio2k  - (Канада) MBK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rio2k  - (Канада)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Deqim  - (Канада)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Deqim  - (Канада) MBK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Deqim  - (Канада) MBK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Deqim  - (Швейцария) rio2k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Deqim  - (Швейцария)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Deqim  - (Швейцария) rio2k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MBK  - (Швейцария) rio2k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MBK  - (Швейцария) rio2k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MBK  - (Швейцария)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MBK  - (США) Deqim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MBK  - (США) Deqim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Deqim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MBK  - (США) Deqim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rio2k  - (США) Deqim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Deqim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rio2k  - (США) Deqim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Deqim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rio2k  - (США) Deqim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rio2k  - (Канада) MBK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rio2k  - (Канада) MBK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rio2k  - (Канада)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Deqim  - (Канада) MBK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Deqim  - (Канада)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Deqim  - (Канада) MBK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Deqim  - (Швейцария)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Deqim  - (Швейцария) rio2k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Deqim  - (Швейцария) rio2k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MBK  - (Швейцария)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MBK  - (Швейцария) rio2k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MBK  - (Швейцария)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MBK  - (США) Deqim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Deqim</v>
      </c>
      <c r="G43" s="40">
        <f t="shared" si="8"/>
        <v>3</v>
      </c>
      <c r="H43" s="19"/>
      <c r="I43" s="40">
        <f t="shared" ref="I43:I47" si="36">SUM(L43,O43)</f>
        <v>2</v>
      </c>
      <c r="J43" s="19"/>
      <c r="K43" s="47">
        <v>3.0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MBK  - (США) Deqim</v>
      </c>
      <c r="V43" s="12" t="str">
        <f t="shared" si="11"/>
        <v>3:2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MBK  - (США) Deqim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rio2k  - (США) Deqim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rio2k  - (США) Deqim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rio2k  - (США) Deqim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rio2k  - (Канада) MBK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rio2k  - (Канада) MBK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3</v>
      </c>
      <c r="H50" s="19"/>
      <c r="I50" s="40">
        <f t="shared" si="41"/>
        <v>2</v>
      </c>
      <c r="J50" s="19"/>
      <c r="K50" s="47">
        <v>3.0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Deqim  - (Канада) MBK</v>
      </c>
      <c r="V50" s="12" t="str">
        <f t="shared" si="11"/>
        <v>3:2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MBK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Deqim  - (Канада) MBK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Deqim  - (Швейцария) rio2k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Deqim  - (Швейцария)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45697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45697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7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7">
        <f t="array" ref="AJ3">SUM(('ТУР4'!home=AF3)*('ТУР4'!homescore&lt;'ТУР4'!visitorscore),('ТУР4'!visitor=AF3)*('ТУР4'!visitorscore&lt;'ТУР4'!homescore))</f>
        <v>13</v>
      </c>
      <c r="AK3" s="108">
        <f t="array" ref="AK3">SUMIF('ТУР4'!home,AF3,'ТУР4'!homescore)+SUMIF('ТУР4'!visitor,AF3,'ТУР4'!visitorscore)</f>
        <v>35</v>
      </c>
      <c r="AL3" s="109">
        <f t="array" ref="AL3">SUMIF('ТУР4'!home,AF3,'ТУР4'!visitorscore)+SUMIF('ТУР4'!visitor,AF3,'ТУР4'!homescore)</f>
        <v>44</v>
      </c>
      <c r="AM3" s="87">
        <f t="shared" ref="AM3:AM5" si="2">AK3-AL3</f>
        <v>-9</v>
      </c>
      <c r="AN3" s="108">
        <f t="array" ref="AN3">AH3*Options!$B$2+AI3*Options!$B$3+AJ3*Options!$B$4+VLOOKUP(AF3,$E$4:$F$8,2,0)</f>
        <v>31</v>
      </c>
      <c r="AO3" s="88">
        <f t="shared" ref="AO3:AO5" si="3">AK3+AM3*10000+AN3*100000000</f>
        <v>3099910035</v>
      </c>
    </row>
    <row r="4">
      <c r="A4" s="88"/>
      <c r="B4" s="91"/>
      <c r="C4" s="60" t="str">
        <f>'ТУР3'!$C$4</f>
        <v>Руслан С. </v>
      </c>
      <c r="D4" s="110" t="s">
        <v>31</v>
      </c>
      <c r="E4" s="60" t="str">
        <f>'ТУР3'!$E$4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9</v>
      </c>
      <c r="Y4" s="105">
        <f t="array" ref="Y4">VLOOKUP($U4,$AF$3:$AN$5,5,0)</f>
        <v>4</v>
      </c>
      <c r="Z4" s="105">
        <f t="array" ref="Z4">VLOOKUP($U4,$AF$3:$AN$5,6,0)</f>
        <v>46</v>
      </c>
      <c r="AA4" s="105">
        <f t="array" ref="AA4">VLOOKUP($U4,$AF$3:$AN$5,7,0)</f>
        <v>27</v>
      </c>
      <c r="AB4" s="105">
        <f t="array" ref="AB4">VLOOKUP($U4,$AF$3:$AN$5,8,0)</f>
        <v>19</v>
      </c>
      <c r="AC4" s="105">
        <f t="array" ref="AC4">VLOOKUP($U4,$AF$3:$AN$5,9,0)</f>
        <v>60</v>
      </c>
      <c r="AD4" s="28"/>
      <c r="AE4" s="88"/>
      <c r="AF4" s="112" t="str">
        <f t="shared" si="1"/>
        <v>MBK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17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7">
        <f t="array" ref="AJ4">SUM(('ТУР4'!home=AF4)*('ТУР4'!homescore&lt;'ТУР4'!visitorscore),('ТУР4'!visitor=AF4)*('ТУР4'!visitorscore&lt;'ТУР4'!homescore))</f>
        <v>4</v>
      </c>
      <c r="AK4" s="108">
        <f t="array" ref="AK4">SUMIF('ТУР4'!home,AF4,'ТУР4'!homescore)+SUMIF('ТУР4'!visitor,AF4,'ТУР4'!visitorscore)</f>
        <v>46</v>
      </c>
      <c r="AL4" s="109">
        <f t="array" ref="AL4">SUMIF('ТУР4'!home,AF4,'ТУР4'!visitorscore)+SUMIF('ТУР4'!visitor,AF4,'ТУР4'!homescore)</f>
        <v>27</v>
      </c>
      <c r="AM4" s="87">
        <f t="shared" si="2"/>
        <v>19</v>
      </c>
      <c r="AN4" s="108">
        <f t="array" ref="AN4">AH4*Options!$B$2+AI4*Options!$B$3+AJ4*Options!$B$4+VLOOKUP(AF4,$E$4:$F$8,2,0)</f>
        <v>60</v>
      </c>
      <c r="AO4" s="88">
        <f t="shared" si="3"/>
        <v>6000190046</v>
      </c>
    </row>
    <row r="5">
      <c r="A5" s="88"/>
      <c r="B5" s="91"/>
      <c r="C5" s="60" t="str">
        <f>'ТУР3'!$C$5</f>
        <v>Дмитрий П.</v>
      </c>
      <c r="D5" s="110" t="s">
        <v>46</v>
      </c>
      <c r="E5" s="60" t="str">
        <f>'ТУР3'!$E$5</f>
        <v>MBK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rio2k</v>
      </c>
      <c r="V5" s="104">
        <f t="array" ref="V5">VLOOKUP($U5,$AF$3:$AN$5,2,0)</f>
        <v>30</v>
      </c>
      <c r="W5" s="105">
        <f t="array" ref="W5">VLOOKUP($U5,$AF$3:$AN$5,3,0)</f>
        <v>7</v>
      </c>
      <c r="X5" s="105">
        <f t="array" ref="X5">VLOOKUP($U5,$AF$3:$AN$5,4,0)</f>
        <v>10</v>
      </c>
      <c r="Y5" s="105">
        <f t="array" ref="Y5">VLOOKUP($U5,$AF$3:$AN$5,5,0)</f>
        <v>13</v>
      </c>
      <c r="Z5" s="105">
        <f t="array" ref="Z5">VLOOKUP($U5,$AF$3:$AN$5,6,0)</f>
        <v>35</v>
      </c>
      <c r="AA5" s="105">
        <f t="array" ref="AA5">VLOOKUP($U5,$AF$3:$AN$5,7,0)</f>
        <v>44</v>
      </c>
      <c r="AB5" s="105">
        <f t="array" ref="AB5">VLOOKUP($U5,$AF$3:$AN$5,8,0)</f>
        <v>-9</v>
      </c>
      <c r="AC5" s="105">
        <f t="array" ref="AC5">VLOOKUP($U5,$AF$3:$AN$5,9,0)</f>
        <v>31</v>
      </c>
      <c r="AD5" s="28"/>
      <c r="AE5" s="88"/>
      <c r="AF5" s="112" t="str">
        <f t="shared" si="1"/>
        <v>Deqim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8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87">
        <f t="array" ref="AJ5">SUM(('ТУР4'!home=AF5)*('ТУР4'!homescore&lt;'ТУР4'!visitorscore),('ТУР4'!visitor=AF5)*('ТУР4'!visitorscore&lt;'ТУР4'!homescore))</f>
        <v>15</v>
      </c>
      <c r="AK5" s="108">
        <f t="array" ref="AK5">SUMIF('ТУР4'!home,AF5,'ТУР4'!homescore)+SUMIF('ТУР4'!visitor,AF5,'ТУР4'!visitorscore)</f>
        <v>35</v>
      </c>
      <c r="AL5" s="109">
        <f t="array" ref="AL5">SUMIF('ТУР4'!home,AF5,'ТУР4'!visitorscore)+SUMIF('ТУР4'!visitor,AF5,'ТУР4'!homescore)</f>
        <v>45</v>
      </c>
      <c r="AM5" s="87">
        <f t="shared" si="2"/>
        <v>-10</v>
      </c>
      <c r="AN5" s="108">
        <f t="array" ref="AN5">AH5*Options!$B$2+AI5*Options!$B$3+AJ5*Options!$B$4+VLOOKUP(AF5,$E$4:$F$8,2,0)</f>
        <v>31</v>
      </c>
      <c r="AO5" s="88">
        <f t="shared" si="3"/>
        <v>3099900035</v>
      </c>
    </row>
    <row r="6">
      <c r="A6" s="88"/>
      <c r="B6" s="91"/>
      <c r="C6" s="60" t="str">
        <f>'ТУР3'!$C$6</f>
        <v>Илья Я. </v>
      </c>
      <c r="D6" s="110" t="s">
        <v>47</v>
      </c>
      <c r="E6" s="60" t="str">
        <f>'ТУР3'!$E$6</f>
        <v>Deqim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Deqim</v>
      </c>
      <c r="V6" s="104">
        <f t="array" ref="V6">VLOOKUP($U6,$AF$3:$AN$5,2,0)</f>
        <v>30</v>
      </c>
      <c r="W6" s="105">
        <f t="array" ref="W6">VLOOKUP($U6,$AF$3:$AN$5,3,0)</f>
        <v>8</v>
      </c>
      <c r="X6" s="105">
        <f t="array" ref="X6">VLOOKUP($U6,$AF$3:$AN$5,4,0)</f>
        <v>7</v>
      </c>
      <c r="Y6" s="105">
        <f t="array" ref="Y6">VLOOKUP($U6,$AF$3:$AN$5,5,0)</f>
        <v>15</v>
      </c>
      <c r="Z6" s="105">
        <f t="array" ref="Z6">VLOOKUP($U6,$AF$3:$AN$5,6,0)</f>
        <v>35</v>
      </c>
      <c r="AA6" s="105">
        <f t="array" ref="AA6">VLOOKUP($U6,$AF$3:$AN$5,7,0)</f>
        <v>45</v>
      </c>
      <c r="AB6" s="105">
        <f t="array" ref="AB6">VLOOKUP($U6,$AF$3:$AN$5,8,0)</f>
        <v>-10</v>
      </c>
      <c r="AC6" s="105">
        <f t="array" ref="AC6">VLOOKUP($U6,$AF$3:$AN$5,9,0)</f>
        <v>31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MBK</v>
      </c>
      <c r="G12" s="116">
        <f t="shared" ref="G12:G56" si="8">SUM(K12)</f>
        <v>0</v>
      </c>
      <c r="H12" s="118"/>
      <c r="I12" s="116">
        <f t="shared" ref="I12:I18" si="9">SUM(L12)</f>
        <v>0</v>
      </c>
      <c r="J12" s="118"/>
      <c r="K12" s="121">
        <v>0.0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rio2k  - (Финляндия) MBK</v>
      </c>
      <c r="V12" s="88" t="str">
        <f t="shared" ref="V12:V56" si="11">TEXT(G12,"0")&amp;":"&amp;TEXT(I12,"0")</f>
        <v>0:0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MBK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rio2k  - (Финляндия) MBK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MBK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rio2k  - (Финляндия) MBK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Deqim</v>
      </c>
      <c r="F15" s="118" t="str">
        <f t="shared" si="7"/>
        <v>MBK</v>
      </c>
      <c r="G15" s="116">
        <f t="shared" si="8"/>
        <v>3</v>
      </c>
      <c r="H15" s="118"/>
      <c r="I15" s="116">
        <f t="shared" si="9"/>
        <v>1</v>
      </c>
      <c r="J15" s="118"/>
      <c r="K15" s="122">
        <v>3.0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Deqim  - (Финляндия) MBK</v>
      </c>
      <c r="V15" s="88" t="str">
        <f t="shared" si="11"/>
        <v>3:1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Deqim</v>
      </c>
      <c r="F16" s="118" t="str">
        <f t="shared" si="7"/>
        <v>MBK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Deqim  - (Финляндия) MBK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Deqim</v>
      </c>
      <c r="F17" s="118" t="str">
        <f t="shared" si="7"/>
        <v>MBK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Deqim  - (Финляндия) MBK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Deqim</v>
      </c>
      <c r="F18" s="118" t="str">
        <f t="shared" ref="F18:F23" si="15">$E$4</f>
        <v>rio2k</v>
      </c>
      <c r="G18" s="116">
        <f t="shared" si="8"/>
        <v>2</v>
      </c>
      <c r="H18" s="118"/>
      <c r="I18" s="116">
        <f t="shared" si="9"/>
        <v>1</v>
      </c>
      <c r="J18" s="118"/>
      <c r="K18" s="121">
        <v>2.0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Deqim  - (Швеция) rio2k</v>
      </c>
      <c r="V18" s="88" t="str">
        <f t="shared" si="11"/>
        <v>2:1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Deqim</v>
      </c>
      <c r="F19" s="118" t="str">
        <f t="shared" si="15"/>
        <v>rio2k</v>
      </c>
      <c r="G19" s="116">
        <f t="shared" si="8"/>
        <v>1</v>
      </c>
      <c r="H19" s="118"/>
      <c r="I19" s="116">
        <f t="shared" ref="I19:I23" si="16">SUM(L19,O19)</f>
        <v>2</v>
      </c>
      <c r="J19" s="118"/>
      <c r="K19" s="122">
        <v>1.0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Deqim  - (Швеция) rio2k</v>
      </c>
      <c r="V19" s="88" t="str">
        <f t="shared" si="11"/>
        <v>1:2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Deqim</v>
      </c>
      <c r="F20" s="118" t="str">
        <f t="shared" si="15"/>
        <v>rio2k</v>
      </c>
      <c r="G20" s="116">
        <f t="shared" si="8"/>
        <v>1</v>
      </c>
      <c r="H20" s="118"/>
      <c r="I20" s="116">
        <f t="shared" si="16"/>
        <v>1</v>
      </c>
      <c r="J20" s="118"/>
      <c r="K20" s="122">
        <v>1.0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Deqim  - (Швеция) rio2k</v>
      </c>
      <c r="V20" s="88" t="str">
        <f t="shared" si="11"/>
        <v>1:1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MBK</v>
      </c>
      <c r="F21" s="118" t="str">
        <f t="shared" si="15"/>
        <v>rio2k</v>
      </c>
      <c r="G21" s="116">
        <f t="shared" si="8"/>
        <v>2</v>
      </c>
      <c r="H21" s="118"/>
      <c r="I21" s="116">
        <f t="shared" si="16"/>
        <v>0</v>
      </c>
      <c r="J21" s="118"/>
      <c r="K21" s="122">
        <v>2.0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MBK  - (Швеция) rio2k</v>
      </c>
      <c r="V21" s="88" t="str">
        <f t="shared" si="11"/>
        <v>2:0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MBK</v>
      </c>
      <c r="F22" s="118" t="str">
        <f t="shared" si="15"/>
        <v>rio2k</v>
      </c>
      <c r="G22" s="116">
        <f t="shared" si="8"/>
        <v>0</v>
      </c>
      <c r="H22" s="118"/>
      <c r="I22" s="116">
        <f t="shared" si="16"/>
        <v>2</v>
      </c>
      <c r="J22" s="118"/>
      <c r="K22" s="122">
        <v>0.0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MBK  - (Швеция) rio2k</v>
      </c>
      <c r="V22" s="88" t="str">
        <f t="shared" si="11"/>
        <v>0:2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MBK</v>
      </c>
      <c r="F23" s="118" t="str">
        <f t="shared" si="15"/>
        <v>rio2k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MBK  - (Швеция) rio2k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MBK</v>
      </c>
      <c r="F24" s="127" t="str">
        <f t="shared" ref="F24:F29" si="20">$E$6</f>
        <v>Deqim</v>
      </c>
      <c r="G24" s="116">
        <f t="shared" si="8"/>
        <v>1</v>
      </c>
      <c r="H24" s="118"/>
      <c r="I24" s="116">
        <f t="shared" ref="I24:I30" si="21">SUM(L24)</f>
        <v>0</v>
      </c>
      <c r="J24" s="118"/>
      <c r="K24" s="121">
        <v>1.0</v>
      </c>
      <c r="L24" s="123">
        <v>0.0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MBK  - (Чехия) Deqim</v>
      </c>
      <c r="V24" s="88" t="str">
        <f t="shared" si="11"/>
        <v>1:0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MBK</v>
      </c>
      <c r="F25" s="127" t="str">
        <f t="shared" si="20"/>
        <v>Deqim</v>
      </c>
      <c r="G25" s="116">
        <f t="shared" si="8"/>
        <v>2</v>
      </c>
      <c r="H25" s="118"/>
      <c r="I25" s="116">
        <f t="shared" si="21"/>
        <v>0</v>
      </c>
      <c r="J25" s="118"/>
      <c r="K25" s="122">
        <v>2.0</v>
      </c>
      <c r="L25" s="126">
        <v>0.0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MBK  - (Чехия) Deqim</v>
      </c>
      <c r="V25" s="88" t="str">
        <f t="shared" si="11"/>
        <v>2:0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MBK</v>
      </c>
      <c r="F26" s="127" t="str">
        <f t="shared" si="20"/>
        <v>Deqim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MBK  - (Чехия) Deqim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Deqim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rio2k  - (Чехия) Deqim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Deqim</v>
      </c>
      <c r="G28" s="116">
        <f t="shared" si="8"/>
        <v>3</v>
      </c>
      <c r="H28" s="118"/>
      <c r="I28" s="116">
        <f t="shared" si="21"/>
        <v>1</v>
      </c>
      <c r="J28" s="118"/>
      <c r="K28" s="122">
        <v>3.0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rio2k  - (Чехия) Deqim</v>
      </c>
      <c r="V28" s="88" t="str">
        <f t="shared" si="11"/>
        <v>3:1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Deqim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rio2k  - (Чехия) Deqim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MBK</v>
      </c>
      <c r="G30" s="116">
        <f t="shared" si="8"/>
        <v>0</v>
      </c>
      <c r="H30" s="118"/>
      <c r="I30" s="116">
        <f t="shared" si="21"/>
        <v>2</v>
      </c>
      <c r="J30" s="118"/>
      <c r="K30" s="121">
        <v>0.0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rio2k  - (Финляндия) MBK</v>
      </c>
      <c r="V30" s="88" t="str">
        <f t="shared" si="11"/>
        <v>0:2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MBK</v>
      </c>
      <c r="G31" s="116">
        <f t="shared" si="8"/>
        <v>1</v>
      </c>
      <c r="H31" s="118"/>
      <c r="I31" s="116">
        <f t="shared" ref="I31:I35" si="26">SUM(L31,O31)</f>
        <v>0</v>
      </c>
      <c r="J31" s="118"/>
      <c r="K31" s="122">
        <v>1.0</v>
      </c>
      <c r="L31" s="126">
        <v>0.0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rio2k  - (Финляндия) MBK</v>
      </c>
      <c r="V31" s="88" t="str">
        <f t="shared" si="11"/>
        <v>1:0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MBK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rio2k  - (Финляндия) MBK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Deqim</v>
      </c>
      <c r="F33" s="118" t="str">
        <f t="shared" si="25"/>
        <v>MBK</v>
      </c>
      <c r="G33" s="116">
        <f t="shared" si="8"/>
        <v>0</v>
      </c>
      <c r="H33" s="118"/>
      <c r="I33" s="116">
        <f t="shared" si="26"/>
        <v>2</v>
      </c>
      <c r="J33" s="118"/>
      <c r="K33" s="122">
        <v>0.0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Deqim  - (Финляндия) MBK</v>
      </c>
      <c r="V33" s="88" t="str">
        <f t="shared" si="11"/>
        <v>0:2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Deqim</v>
      </c>
      <c r="F34" s="118" t="str">
        <f t="shared" si="25"/>
        <v>MBK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Deqim  - (Финляндия) MBK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Deqim</v>
      </c>
      <c r="F35" s="118" t="str">
        <f t="shared" si="25"/>
        <v>MBK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Deqim  - (Финляндия) MBK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Deqim</v>
      </c>
      <c r="F36" s="118" t="str">
        <f t="shared" ref="F36:F41" si="30">$E$4</f>
        <v>rio2k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Deqim  - (Швеция) rio2k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Deqim</v>
      </c>
      <c r="F37" s="118" t="str">
        <f t="shared" si="30"/>
        <v>rio2k</v>
      </c>
      <c r="G37" s="116">
        <f t="shared" si="8"/>
        <v>2</v>
      </c>
      <c r="H37" s="118"/>
      <c r="I37" s="116">
        <f t="shared" si="31"/>
        <v>1</v>
      </c>
      <c r="J37" s="118"/>
      <c r="K37" s="122">
        <v>2.0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Deqim  - (Швеция) rio2k</v>
      </c>
      <c r="V37" s="88" t="str">
        <f t="shared" si="11"/>
        <v>2:1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Deqim</v>
      </c>
      <c r="F38" s="118" t="str">
        <f t="shared" si="30"/>
        <v>rio2k</v>
      </c>
      <c r="G38" s="116">
        <f t="shared" si="8"/>
        <v>2</v>
      </c>
      <c r="H38" s="118"/>
      <c r="I38" s="116">
        <f t="shared" si="31"/>
        <v>0</v>
      </c>
      <c r="J38" s="118"/>
      <c r="K38" s="122">
        <v>2.0</v>
      </c>
      <c r="L38" s="126">
        <v>0.0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Deqim  - (Швеция) rio2k</v>
      </c>
      <c r="V38" s="88" t="str">
        <f t="shared" si="11"/>
        <v>2:0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MBK</v>
      </c>
      <c r="F39" s="118" t="str">
        <f t="shared" si="30"/>
        <v>rio2k</v>
      </c>
      <c r="G39" s="116">
        <f t="shared" si="8"/>
        <v>2</v>
      </c>
      <c r="H39" s="118"/>
      <c r="I39" s="116">
        <f t="shared" si="31"/>
        <v>0</v>
      </c>
      <c r="J39" s="118"/>
      <c r="K39" s="122">
        <v>2.0</v>
      </c>
      <c r="L39" s="126">
        <v>0.0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MBK  - (Швеция) rio2k</v>
      </c>
      <c r="V39" s="88" t="str">
        <f t="shared" si="11"/>
        <v>2:0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MBK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2</v>
      </c>
      <c r="J40" s="118"/>
      <c r="K40" s="122">
        <v>2.0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MBK  - (Швеция) rio2k</v>
      </c>
      <c r="V40" s="88" t="str">
        <f t="shared" si="11"/>
        <v>2:2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MBK</v>
      </c>
      <c r="F41" s="118" t="str">
        <f t="shared" si="30"/>
        <v>rio2k</v>
      </c>
      <c r="G41" s="116">
        <f t="shared" si="8"/>
        <v>2</v>
      </c>
      <c r="H41" s="118"/>
      <c r="I41" s="116">
        <f t="shared" si="31"/>
        <v>1</v>
      </c>
      <c r="J41" s="118"/>
      <c r="K41" s="118">
        <v>2.0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MBK  - (Швеция) rio2k</v>
      </c>
      <c r="V41" s="88" t="str">
        <f t="shared" si="11"/>
        <v>2:1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MBK</v>
      </c>
      <c r="F42" s="118" t="str">
        <f t="shared" ref="F42:F47" si="35">$E$6</f>
        <v>Deqim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MBK  - (Чехия) Deqim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MBK</v>
      </c>
      <c r="F43" s="118" t="str">
        <f t="shared" si="35"/>
        <v>Deqim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MBK  - (Чехия) Deqim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MBK</v>
      </c>
      <c r="F44" s="118" t="str">
        <f t="shared" si="35"/>
        <v>Deqim</v>
      </c>
      <c r="G44" s="116">
        <f t="shared" si="8"/>
        <v>2</v>
      </c>
      <c r="H44" s="118"/>
      <c r="I44" s="116">
        <f t="shared" si="36"/>
        <v>1</v>
      </c>
      <c r="J44" s="118"/>
      <c r="K44" s="122">
        <v>2.0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MBK  - (Чехия) Deqim</v>
      </c>
      <c r="V44" s="88" t="str">
        <f t="shared" si="11"/>
        <v>2:1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Deqim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rio2k  - (Чехия) Deqim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Deqim</v>
      </c>
      <c r="G46" s="116">
        <f t="shared" si="8"/>
        <v>0</v>
      </c>
      <c r="H46" s="118"/>
      <c r="I46" s="116">
        <f t="shared" si="36"/>
        <v>2</v>
      </c>
      <c r="J46" s="118"/>
      <c r="K46" s="122">
        <v>0.0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rio2k  - (Чехия) Deqim</v>
      </c>
      <c r="V46" s="88" t="str">
        <f t="shared" si="11"/>
        <v>0:2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Deqim</v>
      </c>
      <c r="G47" s="116">
        <f t="shared" si="8"/>
        <v>2</v>
      </c>
      <c r="H47" s="118"/>
      <c r="I47" s="116">
        <f t="shared" si="36"/>
        <v>1</v>
      </c>
      <c r="J47" s="118"/>
      <c r="K47" s="118">
        <v>2.0</v>
      </c>
      <c r="L47" s="118">
        <v>1.0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rio2k  - (Чехия) Deqim</v>
      </c>
      <c r="V47" s="88" t="str">
        <f t="shared" si="11"/>
        <v>2:1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MBK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rio2k  - (Финляндия) MBK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MBK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rio2k  - (Финляндия) MBK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MBK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rio2k  - (Финляндия) MBK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Deqim</v>
      </c>
      <c r="F51" s="118" t="str">
        <f t="shared" si="40"/>
        <v>MBK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Deqim  - (Финляндия) MBK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Deqim</v>
      </c>
      <c r="F52" s="118" t="str">
        <f t="shared" si="40"/>
        <v>MBK</v>
      </c>
      <c r="G52" s="116">
        <f t="shared" si="8"/>
        <v>0</v>
      </c>
      <c r="H52" s="118"/>
      <c r="I52" s="116">
        <f t="shared" si="41"/>
        <v>2</v>
      </c>
      <c r="J52" s="118"/>
      <c r="K52" s="122">
        <v>0.0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Deqim  - (Финляндия) MBK</v>
      </c>
      <c r="V52" s="88" t="str">
        <f t="shared" si="11"/>
        <v>0:2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Deqim</v>
      </c>
      <c r="F53" s="118" t="str">
        <f t="shared" si="40"/>
        <v>MBK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Deqim  - (Финляндия) MBK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Deqim</v>
      </c>
      <c r="F54" s="118" t="str">
        <f t="shared" ref="F54:F56" si="45">$E$4</f>
        <v>rio2k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Deqim  - (Швеция) rio2k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Deqim</v>
      </c>
      <c r="F55" s="118" t="str">
        <f t="shared" si="45"/>
        <v>rio2k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Deqim  - (Швеция) rio2k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Deqim</v>
      </c>
      <c r="F56" s="118" t="str">
        <f t="shared" si="45"/>
        <v>rio2k</v>
      </c>
      <c r="G56" s="116">
        <f t="shared" si="8"/>
        <v>1</v>
      </c>
      <c r="H56" s="118"/>
      <c r="I56" s="116">
        <f t="shared" si="46"/>
        <v>0</v>
      </c>
      <c r="J56" s="118"/>
      <c r="K56" s="122">
        <v>1.0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Deqim  - (Швеция) rio2k</v>
      </c>
      <c r="V56" s="88" t="str">
        <f t="shared" si="11"/>
        <v>1:0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46</v>
      </c>
      <c r="AL3" s="27">
        <f t="array" ref="AL3">SUMIF('ТУР5'!home,AF3,'ТУР5'!visitorscore)+SUMIF('ТУР5'!visitor,AF3,'ТУР5'!homescore)</f>
        <v>41</v>
      </c>
      <c r="AM3" s="27">
        <f t="shared" ref="AM3:AM5" si="2">AK3-AL3</f>
        <v>5</v>
      </c>
      <c r="AN3" s="22">
        <f t="array" ref="AN3">AH3*Options!$B$2+AI3*Options!$B$3+AJ3*Options!$B$4+VLOOKUP(AF3,$E$4:$F$8,2,0)</f>
        <v>40</v>
      </c>
      <c r="AO3" s="28">
        <f t="shared" ref="AO3:AO5" si="3">AK3+AM3*10000+AN3*100000000</f>
        <v>4000050046</v>
      </c>
    </row>
    <row r="4">
      <c r="A4" s="12"/>
      <c r="B4" s="12"/>
      <c r="C4" s="60" t="str">
        <f>'ТУР3'!$C$4</f>
        <v>Руслан С. </v>
      </c>
      <c r="D4" s="110" t="s">
        <v>25</v>
      </c>
      <c r="E4" s="60" t="str">
        <f>'ТУР3'!$E$4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13</v>
      </c>
      <c r="Y4" s="20">
        <f t="array" ref="Y4">VLOOKUP($U4,$AF$3:$AN$5,5,0)</f>
        <v>6</v>
      </c>
      <c r="Z4" s="20">
        <f t="array" ref="Z4">VLOOKUP($U4,$AF$3:$AN$5,6,0)</f>
        <v>46</v>
      </c>
      <c r="AA4" s="20">
        <f t="array" ref="AA4">VLOOKUP($U4,$AF$3:$AN$5,7,0)</f>
        <v>41</v>
      </c>
      <c r="AB4" s="20">
        <f t="array" ref="AB4">VLOOKUP($U4,$AF$3:$AN$5,8,0)</f>
        <v>5</v>
      </c>
      <c r="AC4" s="20">
        <f t="array" ref="AC4">VLOOKUP($U4,$AF$3:$AN$5,9,0)</f>
        <v>40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13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39</v>
      </c>
      <c r="AL4" s="27">
        <f t="array" ref="AL4">SUMIF('ТУР5'!home,AF4,'ТУР5'!visitorscore)+SUMIF('ТУР5'!visitor,AF4,'ТУР5'!homescore)</f>
        <v>47</v>
      </c>
      <c r="AM4" s="27">
        <f t="shared" si="2"/>
        <v>-8</v>
      </c>
      <c r="AN4" s="22">
        <f t="array" ref="AN4">AH4*Options!$B$2+AI4*Options!$B$3+AJ4*Options!$B$4+VLOOKUP(AF4,$E$4:$F$8,2,0)</f>
        <v>31</v>
      </c>
      <c r="AO4" s="28">
        <f t="shared" si="3"/>
        <v>3099920039</v>
      </c>
    </row>
    <row r="5">
      <c r="A5" s="12"/>
      <c r="B5" s="12"/>
      <c r="C5" s="60" t="str">
        <f>'ТУР3'!$C$5</f>
        <v>Дмитрий П.</v>
      </c>
      <c r="D5" s="110" t="s">
        <v>28</v>
      </c>
      <c r="E5" s="60" t="str">
        <f>'ТУР3'!$E$5</f>
        <v>MBK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37</v>
      </c>
      <c r="AB5" s="20">
        <f t="array" ref="AB5">VLOOKUP($U5,$AF$3:$AN$5,8,0)</f>
        <v>3</v>
      </c>
      <c r="AC5" s="20">
        <f t="array" ref="AC5">VLOOKUP($U5,$AF$3:$AN$5,9,0)</f>
        <v>37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9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9</v>
      </c>
      <c r="AK5" s="22">
        <f t="array" ref="AK5">SUMIF('ТУР5'!home,AF5,'ТУР5'!homescore)+SUMIF('ТУР5'!visitor,AF5,'ТУР5'!visitorscore)</f>
        <v>40</v>
      </c>
      <c r="AL5" s="27">
        <f t="array" ref="AL5">SUMIF('ТУР5'!home,AF5,'ТУР5'!visitorscore)+SUMIF('ТУР5'!visitor,AF5,'ТУР5'!homescore)</f>
        <v>37</v>
      </c>
      <c r="AM5" s="27">
        <f t="shared" si="2"/>
        <v>3</v>
      </c>
      <c r="AN5" s="22">
        <f t="array" ref="AN5">AH5*Options!$B$2+AI5*Options!$B$3+AJ5*Options!$B$4+VLOOKUP(AF5,$E$4:$F$8,2,0)</f>
        <v>37</v>
      </c>
      <c r="AO5" s="28">
        <f t="shared" si="3"/>
        <v>3700030040</v>
      </c>
    </row>
    <row r="6">
      <c r="A6" s="12"/>
      <c r="B6" s="12"/>
      <c r="C6" s="60" t="str">
        <f>'ТУР3'!$C$6</f>
        <v>Илья Я. </v>
      </c>
      <c r="D6" s="110" t="s">
        <v>31</v>
      </c>
      <c r="E6" s="60" t="str">
        <f>'ТУР3'!$E$6</f>
        <v>Deqim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13</v>
      </c>
      <c r="Y6" s="20">
        <f t="array" ref="Y6">VLOOKUP($U6,$AF$3:$AN$5,5,0)</f>
        <v>9</v>
      </c>
      <c r="Z6" s="20">
        <f t="array" ref="Z6">VLOOKUP($U6,$AF$3:$AN$5,6,0)</f>
        <v>39</v>
      </c>
      <c r="AA6" s="20">
        <f t="array" ref="AA6">VLOOKUP($U6,$AF$3:$AN$5,7,0)</f>
        <v>47</v>
      </c>
      <c r="AB6" s="20">
        <f t="array" ref="AB6">VLOOKUP($U6,$AF$3:$AN$5,8,0)</f>
        <v>-8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rio2k  - (США) MBK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0</v>
      </c>
      <c r="J13" s="19"/>
      <c r="K13" s="47">
        <v>0.0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rio2k  - (США) MBK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rio2k  - (США) MBK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Deqim  - (США) MBK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Deqim  - (США) MBK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MBK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Deqim  - (США) MBK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Deqim  - (Канада) rio2k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Deqim  - (Канада) rio2k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Deqim  - (Канада) rio2k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MBK  - (Канада) rio2k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MBK  - (Канада) rio2k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MBK  - (Канада)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MBK  - (Швеция) Deqim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MBK  - (Швеция) Deqim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Deqim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MBK  - (Швеция) Deqim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rio2k  - (Швеция) Deqim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Deqim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rio2k  - (Швеция) Deqim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rio2k  - (Швеция) Deqim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rio2k  - (США) MBK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MBK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rio2k  - (США) MBK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MBK</v>
      </c>
      <c r="G32" s="40">
        <f t="shared" si="8"/>
        <v>3</v>
      </c>
      <c r="H32" s="19"/>
      <c r="I32" s="40">
        <f t="shared" si="26"/>
        <v>3</v>
      </c>
      <c r="J32" s="19"/>
      <c r="K32" s="47">
        <v>3.0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rio2k  - (США) MBK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Deqim  - (США)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MBK</v>
      </c>
      <c r="G34" s="40">
        <f t="shared" si="8"/>
        <v>3</v>
      </c>
      <c r="H34" s="19"/>
      <c r="I34" s="40">
        <f t="shared" si="26"/>
        <v>3</v>
      </c>
      <c r="J34" s="19"/>
      <c r="K34" s="47">
        <v>3.0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Deqim  - (США) MBK</v>
      </c>
      <c r="V34" s="12" t="str">
        <f t="shared" si="11"/>
        <v>3:3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Deqim  - (США) MBK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Deqim  - (Канада)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Deqim  - (Канада)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Deqim  - (Канада) rio2k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3</v>
      </c>
      <c r="H39" s="19"/>
      <c r="I39" s="40">
        <f t="shared" si="31"/>
        <v>3</v>
      </c>
      <c r="J39" s="19"/>
      <c r="K39" s="47">
        <v>3.0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MBK  - (Канада) rio2k</v>
      </c>
      <c r="V39" s="12" t="str">
        <f t="shared" si="11"/>
        <v>3:3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rio2k</v>
      </c>
      <c r="G40" s="40">
        <f t="shared" si="8"/>
        <v>3</v>
      </c>
      <c r="H40" s="19"/>
      <c r="I40" s="40">
        <f t="shared" si="31"/>
        <v>3</v>
      </c>
      <c r="J40" s="19"/>
      <c r="K40" s="47">
        <v>3.0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MBK  - (Канада) rio2k</v>
      </c>
      <c r="V40" s="12" t="str">
        <f t="shared" si="11"/>
        <v>3:3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MBK  - (Канада) rio2k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MBK  - (Швеция) Deqim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Deqim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MBK  - (Швеция) Deqim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MBK  - (Швеция) Deqim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Deqim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rio2k  - (Швеция) Deqim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rio2k  - (Швеция)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rio2k  - (Швеция) Deqim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rio2k  - (США) MBK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MBK</v>
      </c>
      <c r="G49" s="40">
        <f t="shared" si="8"/>
        <v>3</v>
      </c>
      <c r="H49" s="19"/>
      <c r="I49" s="40">
        <f t="shared" ref="I49:I53" si="41">SUM(L49,O49)</f>
        <v>3</v>
      </c>
      <c r="J49" s="19"/>
      <c r="K49" s="47">
        <v>3.0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rio2k  - (США) MBK</v>
      </c>
      <c r="V49" s="12" t="str">
        <f t="shared" si="11"/>
        <v>3:3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Deqim  - (США) MBK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MBK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Deqim  - (США) MBK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Deqim  - (Канада) rio2k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Deqim  - (Канада)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12</v>
      </c>
      <c r="AK3" s="22">
        <f t="array" ref="AK3">SUMIF('ТУР6'!home,AF3,'ТУР6'!homescore)+SUMIF('ТУР6'!visitor,AF3,'ТУР6'!visitorscore)</f>
        <v>35</v>
      </c>
      <c r="AL3" s="27">
        <f t="array" ref="AL3">SUMIF('ТУР6'!home,AF3,'ТУР6'!visitorscore)+SUMIF('ТУР6'!visitor,AF3,'ТУР6'!homescore)</f>
        <v>45</v>
      </c>
      <c r="AM3" s="27">
        <f t="shared" ref="AM3:AM5" si="2">AK3-AL3</f>
        <v>-10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3199900035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36</v>
      </c>
      <c r="AB4" s="20">
        <f t="array" ref="AB4">VLOOKUP($U4,$AF$3:$AN$5,8,0)</f>
        <v>7</v>
      </c>
      <c r="AC4" s="20">
        <f t="array" ref="AC4">VLOOKUP($U4,$AF$3:$AN$5,9,0)</f>
        <v>43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44</v>
      </c>
      <c r="AL4" s="27">
        <f t="array" ref="AL4">SUMIF('ТУР6'!home,AF4,'ТУР6'!visitorscore)+SUMIF('ТУР6'!visitor,AF4,'ТУР6'!homescore)</f>
        <v>41</v>
      </c>
      <c r="AM4" s="27">
        <f t="shared" si="2"/>
        <v>3</v>
      </c>
      <c r="AN4" s="22">
        <f t="array" ref="AN4">AH4*Options!$B$2+AI4*Options!$B$3+AJ4*Options!$B$4+VLOOKUP(AF4,$E$4:$F$8,2,0)</f>
        <v>38</v>
      </c>
      <c r="AO4" s="28">
        <f t="shared" si="3"/>
        <v>3800030044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44</v>
      </c>
      <c r="AA5" s="20">
        <f t="array" ref="AA5">VLOOKUP($U5,$AF$3:$AN$5,7,0)</f>
        <v>41</v>
      </c>
      <c r="AB5" s="20">
        <f t="array" ref="AB5">VLOOKUP($U5,$AF$3:$AN$5,8,0)</f>
        <v>3</v>
      </c>
      <c r="AC5" s="20">
        <f t="array" ref="AC5">VLOOKUP($U5,$AF$3:$AN$5,9,0)</f>
        <v>38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11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7</v>
      </c>
      <c r="AK5" s="22">
        <f t="array" ref="AK5">SUMIF('ТУР6'!home,AF5,'ТУР6'!homescore)+SUMIF('ТУР6'!visitor,AF5,'ТУР6'!visitorscore)</f>
        <v>43</v>
      </c>
      <c r="AL5" s="27">
        <f t="array" ref="AL5">SUMIF('ТУР6'!home,AF5,'ТУР6'!visitorscore)+SUMIF('ТУР6'!visitor,AF5,'ТУР6'!homescore)</f>
        <v>36</v>
      </c>
      <c r="AM5" s="27">
        <f t="shared" si="2"/>
        <v>7</v>
      </c>
      <c r="AN5" s="22">
        <f t="array" ref="AN5">AH5*Options!$B$2+AI5*Options!$B$3+AJ5*Options!$B$4+VLOOKUP(AF5,$E$4:$F$8,2,0)</f>
        <v>43</v>
      </c>
      <c r="AO5" s="28">
        <f t="shared" si="3"/>
        <v>4300070043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35</v>
      </c>
      <c r="AA6" s="20">
        <f t="array" ref="AA6">VLOOKUP($U6,$AF$3:$AN$5,7,0)</f>
        <v>45</v>
      </c>
      <c r="AB6" s="20">
        <f t="array" ref="AB6">VLOOKUP($U6,$AF$3:$AN$5,8,0)</f>
        <v>-10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Handzus  - (Чехия) YOSEN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YOSEN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Handzus  - (Чехия) YOSEN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YOSEN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Handzus  - (Чехия) YOSEN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YOSEN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AVTOMAT  - (Чехия) YOSEN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AVTOMAT  - (Чехия) YOSEN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YOSEN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AVTOMAT  - (Чехия) YOSEN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AVTOMAT  - (Финляндия) Handzus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Handzus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AVTOMAT  - (Финляндия) Handzus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AVTOMAT  - (Финляндия) Handzus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YOSEN  - (Финляндия) Handzus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YOSEN  - (Финляндия) Handzus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YOSEN  - (Финляндия) Handzus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YOSEN</v>
      </c>
      <c r="F24" s="51" t="str">
        <f t="shared" ref="F24:F29" si="20">$E$6</f>
        <v>AVTOMAT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YOSEN  - (Германия) AVTOMAT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YOSEN</v>
      </c>
      <c r="F25" s="51" t="str">
        <f t="shared" si="20"/>
        <v>AVTOMAT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YOSEN  - (Германия) AVTOMAT</v>
      </c>
      <c r="V25" s="12" t="str">
        <f t="shared" si="11"/>
        <v>1:2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YOSEN</v>
      </c>
      <c r="F26" s="51" t="str">
        <f t="shared" si="20"/>
        <v>AVTOMAT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YOSEN  - (Германия) AVTOMAT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AVTOMAT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Handzus  - (Германия) AVTOMAT</v>
      </c>
      <c r="V27" s="12" t="str">
        <f t="shared" si="11"/>
        <v>1:0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2</v>
      </c>
      <c r="J28" s="19"/>
      <c r="K28" s="47">
        <v>0.0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Handzus  - (Германия) AVTOMAT</v>
      </c>
      <c r="V28" s="12" t="str">
        <f t="shared" si="11"/>
        <v>0:2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AVTOMAT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Handzus  - (Германия) AVTOMAT</v>
      </c>
      <c r="V29" s="12" t="str">
        <f t="shared" si="11"/>
        <v>1:1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Handzus  - (Чехия) YOSEN</v>
      </c>
      <c r="V30" s="12" t="str">
        <f t="shared" si="11"/>
        <v>2:2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YOSEN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Handzus  - (Чехия) YOSEN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YOSEN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Handzus  - (Чехия) YOSEN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YOSEN</v>
      </c>
      <c r="G33" s="40">
        <f t="shared" si="8"/>
        <v>3</v>
      </c>
      <c r="H33" s="19"/>
      <c r="I33" s="40">
        <f t="shared" si="26"/>
        <v>3</v>
      </c>
      <c r="J33" s="19"/>
      <c r="K33" s="47">
        <v>3.0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AVTOMAT  - (Чехия) YOSEN</v>
      </c>
      <c r="V33" s="12" t="str">
        <f t="shared" si="11"/>
        <v>3:3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AVTOMAT  - (Чехия) YOSEN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AVTOMAT  - (Чехия) YOSEN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Handzus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AVTOMAT  - (Финляндия) Handzus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AVTOMAT  - (Финляндия) Handzus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AVTOMAT  - (Финляндия) Handzus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YOSEN  - (Финляндия) Handzus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YOSEN  - (Финляндия) Handzus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YOSEN  - (Финляндия) Handzus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YOSEN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YOSEN  - (Германия) AVTOMAT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YOSEN</v>
      </c>
      <c r="F43" s="47" t="str">
        <f t="shared" si="35"/>
        <v>AVTOMAT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YOSEN  - (Германия) AVTOMAT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YOSEN</v>
      </c>
      <c r="F44" s="47" t="str">
        <f t="shared" si="35"/>
        <v>AVTOMAT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YOSEN  - (Германия) AVTOMAT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Handzus  - (Германия) AVTOMAT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AVTOMAT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Handzus  - (Германия) AVTOMAT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AVTOMAT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Handzus  - (Германия) AVTOMAT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Handzus  - (Чехия) YOSEN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Handzus  - (Чехия) YOSEN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AVTOMAT  - (Чехия) YOSEN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YOSEN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AVTOMAT  - (Чехия) YOSEN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AVTOMAT  - (Финляндия) Handzus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AVTOMAT  - (Финляндия) Handzus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6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30</v>
      </c>
      <c r="AL3" s="27">
        <f t="array" ref="AL3">SUMIF('ТУР7'!home,AF3,'ТУР7'!visitorscore)+SUMIF('ТУР7'!visitor,AF3,'ТУР7'!homescore)</f>
        <v>39</v>
      </c>
      <c r="AM3" s="27">
        <f t="shared" ref="AM3:AM5" si="2">AK3-AL3</f>
        <v>-9</v>
      </c>
      <c r="AN3" s="22">
        <f t="array" ref="AN3">AH3*Options!$B$2+AI3*Options!$B$3+AJ3*Options!$B$4+VLOOKUP(AF3,$E$4:$F$8,2,0)</f>
        <v>28</v>
      </c>
      <c r="AO3" s="28">
        <f t="shared" ref="AO3:AO5" si="3">AK3+AM3*10000+AN3*100000000</f>
        <v>2799910030</v>
      </c>
    </row>
    <row r="4">
      <c r="A4" s="12"/>
      <c r="B4" s="12"/>
      <c r="C4" s="60" t="str">
        <f>'ТУР6'!$C$4</f>
        <v>Евгений Б.</v>
      </c>
      <c r="D4" s="110" t="s">
        <v>53</v>
      </c>
      <c r="E4" s="60" t="str">
        <f>'ТУР6'!$E$4</f>
        <v>Handzus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7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27</v>
      </c>
      <c r="AB4" s="20">
        <f t="array" ref="AB4">VLOOKUP($U4,$AF$3:$AN$5,8,0)</f>
        <v>15</v>
      </c>
      <c r="AC4" s="20">
        <f t="array" ref="AC4">VLOOKUP($U4,$AF$3:$AN$5,9,0)</f>
        <v>52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8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11</v>
      </c>
      <c r="AK4" s="22">
        <f t="array" ref="AK4">SUMIF('ТУР7'!home,AF4,'ТУР7'!homescore)+SUMIF('ТУР7'!visitor,AF4,'ТУР7'!visitorscore)</f>
        <v>31</v>
      </c>
      <c r="AL4" s="27">
        <f t="array" ref="AL4">SUMIF('ТУР7'!home,AF4,'ТУР7'!visitorscore)+SUMIF('ТУР7'!visitor,AF4,'ТУР7'!homescore)</f>
        <v>37</v>
      </c>
      <c r="AM4" s="27">
        <f t="shared" si="2"/>
        <v>-6</v>
      </c>
      <c r="AN4" s="22">
        <f t="array" ref="AN4">AH4*Options!$B$2+AI4*Options!$B$3+AJ4*Options!$B$4+VLOOKUP(AF4,$E$4:$F$8,2,0)</f>
        <v>33</v>
      </c>
      <c r="AO4" s="28">
        <f t="shared" si="3"/>
        <v>3299940031</v>
      </c>
    </row>
    <row r="5">
      <c r="A5" s="12"/>
      <c r="B5" s="12"/>
      <c r="C5" s="60" t="str">
        <f>'ТУР6'!$C$5</f>
        <v>Михаил Ж.</v>
      </c>
      <c r="D5" s="110" t="s">
        <v>25</v>
      </c>
      <c r="E5" s="60" t="str">
        <f>'ТУР6'!$E$5</f>
        <v>YOSEN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31</v>
      </c>
      <c r="AA5" s="20">
        <f t="array" ref="AA5">VLOOKUP($U5,$AF$3:$AN$5,7,0)</f>
        <v>37</v>
      </c>
      <c r="AB5" s="20">
        <f t="array" ref="AB5">VLOOKUP($U5,$AF$3:$AN$5,8,0)</f>
        <v>-6</v>
      </c>
      <c r="AC5" s="20">
        <f t="array" ref="AC5">VLOOKUP($U5,$AF$3:$AN$5,9,0)</f>
        <v>33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15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6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27</v>
      </c>
      <c r="AM5" s="27">
        <f t="shared" si="2"/>
        <v>15</v>
      </c>
      <c r="AN5" s="22">
        <f t="array" ref="AN5">AH5*Options!$B$2+AI5*Options!$B$3+AJ5*Options!$B$4+VLOOKUP(AF5,$E$4:$F$8,2,0)</f>
        <v>52</v>
      </c>
      <c r="AO5" s="28">
        <f t="shared" si="3"/>
        <v>5200150042</v>
      </c>
    </row>
    <row r="6">
      <c r="A6" s="12"/>
      <c r="B6" s="12"/>
      <c r="C6" s="60" t="str">
        <f>'ТУР6'!$C$6</f>
        <v>Вильдан А. </v>
      </c>
      <c r="D6" s="110" t="s">
        <v>28</v>
      </c>
      <c r="E6" s="60" t="str">
        <f>'ТУР6'!$E$6</f>
        <v>AVTOMAT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30</v>
      </c>
      <c r="AA6" s="20">
        <f t="array" ref="AA6">VLOOKUP($U6,$AF$3:$AN$5,7,0)</f>
        <v>39</v>
      </c>
      <c r="AB6" s="20">
        <f t="array" ref="AB6">VLOOKUP($U6,$AF$3:$AN$5,8,0)</f>
        <v>-9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Handzus  - (Канада) YOSEN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YOSEN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Handzus  - (Канада) YOSEN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YOSEN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Handzus  - (Канада) YOSEN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AVTOMAT</v>
      </c>
      <c r="F15" s="47" t="str">
        <f t="shared" si="7"/>
        <v>YOSEN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AVTOMAT  - (Канада) YOSEN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AVTOMAT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AVTOMAT  - (Канада) YOSEN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AVTOMAT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AVTOMAT  - (Канада) YOSEN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AVTOMAT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AVTOMAT  - (Швейцария) Handzus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AVTOMAT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AVTOMAT  - (Швейцария) Handzus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AVTOMAT</v>
      </c>
      <c r="F20" s="47" t="str">
        <f t="shared" si="15"/>
        <v>Handzus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AVTOMAT  - (Швейцария) Handzus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YOSEN  - (Швейцария) Handzus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YOSEN  - (Швейцария) Handzus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YOSEN  - (Швейцария) Handzus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AVTOMAT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YOSEN  - (США) AVTOMAT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1</v>
      </c>
      <c r="J25" s="19"/>
      <c r="K25" s="75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YOSEN  - (США) AVTOMAT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AVTOMAT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YOSEN  - (США) AVTOMAT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AVTOMAT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Handzus  - (США) AVTOMAT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AVTOMAT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Handzus  - (США) AVTOMAT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Handzus  - (США) AVTOMAT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Handzus  - (Канада) YOSEN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Handzus  - (Канада) YOSEN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Handzus  - (Канада) YOSEN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AVTOMAT</v>
      </c>
      <c r="F33" s="47" t="str">
        <f t="shared" si="25"/>
        <v>YOSEN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AVTOMAT  - (Канада) YOSEN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AVTOMAT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AVTOMAT  - (Канада) YOSEN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AVTOMAT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AVTOMAT  - (Канада) YOSEN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AVTOMAT</v>
      </c>
      <c r="F36" s="47" t="str">
        <f t="shared" ref="F36:F41" si="30">$E$4</f>
        <v>Handzus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AVTOMAT  - (Швейцария) Handzus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AVTOMAT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AVTOMAT  - (Швейцария)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AVTOMAT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AVTOMAT  - (Швейцария) Handzus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YOSEN  - (Швейцария) Handzus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YOSEN  - (Швейцария)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YOSEN  - (Швейцария) Handzus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AVTOMAT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YOSEN  - (США) AVTOMAT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AVTOMAT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YOSEN  - (США) AVTOMAT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YOSEN  - (США) AVTOMAT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Handzus  - (США) AVTOMAT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AVTOMAT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Handzus  - (США) AVTOMAT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Handzus  - (США) AVTOMAT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Handzus  - (Канада) YOSEN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Handzus  - (Канада)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AVTOMAT</v>
      </c>
      <c r="F50" s="47" t="str">
        <f t="shared" si="40"/>
        <v>YOSEN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AVTOMAT  - (Канада) YOSEN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AVTOMAT</v>
      </c>
      <c r="F51" s="47" t="str">
        <f t="shared" si="40"/>
        <v>YOSEN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AVTOMAT  - (Канада) YOSEN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AVTOMAT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AVTOMAT  - (Швейцария) Handzus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AVTOMAT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AVTOMAT  - (Швейцария) Handzus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45697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45697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Handzus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16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4</v>
      </c>
      <c r="AK3" s="108">
        <f t="array" ref="AK3">SUMIF('ТУР8'!home,AF3,'ТУР8'!homescore)+SUMIF('ТУР8'!visitor,AF3,'ТУР8'!visitorscore)</f>
        <v>52</v>
      </c>
      <c r="AL3" s="109">
        <f t="array" ref="AL3">SUMIF('ТУР8'!home,AF3,'ТУР8'!visitorscore)+SUMIF('ТУР8'!visitor,AF3,'ТУР8'!homescore)</f>
        <v>34</v>
      </c>
      <c r="AM3" s="87">
        <f t="shared" ref="AM3:AM5" si="2">AK3-AL3</f>
        <v>18</v>
      </c>
      <c r="AN3" s="108">
        <f t="array" ref="AN3">AH3*Options!$B$2+AI3*Options!$B$3+AJ3*Options!$B$4+VLOOKUP(AF3,$E$4:$F$8,2,0)</f>
        <v>58</v>
      </c>
      <c r="AO3" s="88">
        <f t="shared" ref="AO3:AO5" si="3">AK3+AM3*10000+AN3*100000000</f>
        <v>5800180052</v>
      </c>
    </row>
    <row r="4">
      <c r="A4" s="88"/>
      <c r="B4" s="91"/>
      <c r="C4" s="60" t="str">
        <f>'ТУР6'!$C$4</f>
        <v>Евгений Б.</v>
      </c>
      <c r="D4" s="110" t="s">
        <v>31</v>
      </c>
      <c r="E4" s="60" t="str">
        <f>'ТУР6'!$E$4</f>
        <v>Handzus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Handzus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10</v>
      </c>
      <c r="Y4" s="105">
        <f t="array" ref="Y4">VLOOKUP($U4,$AF$3:$AN$5,5,0)</f>
        <v>4</v>
      </c>
      <c r="Z4" s="105">
        <f t="array" ref="Z4">VLOOKUP($U4,$AF$3:$AN$5,6,0)</f>
        <v>52</v>
      </c>
      <c r="AA4" s="105">
        <f t="array" ref="AA4">VLOOKUP($U4,$AF$3:$AN$5,7,0)</f>
        <v>34</v>
      </c>
      <c r="AB4" s="105">
        <f t="array" ref="AB4">VLOOKUP($U4,$AF$3:$AN$5,8,0)</f>
        <v>18</v>
      </c>
      <c r="AC4" s="105">
        <f t="array" ref="AC4">VLOOKUP($U4,$AF$3:$AN$5,9,0)</f>
        <v>58</v>
      </c>
      <c r="AD4" s="28"/>
      <c r="AE4" s="88"/>
      <c r="AF4" s="112" t="str">
        <f t="shared" si="1"/>
        <v>YOSEN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10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87">
        <f t="array" ref="AJ4">SUM(('ТУР8'!home=AF4)*('ТУР8'!homescore&lt;'ТУР8'!visitorscore),('ТУР8'!visitor=AF4)*('ТУР8'!visitorscore&lt;'ТУР8'!homescore))</f>
        <v>8</v>
      </c>
      <c r="AK4" s="108">
        <f t="array" ref="AK4">SUMIF('ТУР8'!home,AF4,'ТУР8'!homescore)+SUMIF('ТУР8'!visitor,AF4,'ТУР8'!visitorscore)</f>
        <v>44</v>
      </c>
      <c r="AL4" s="109">
        <f t="array" ref="AL4">SUMIF('ТУР8'!home,AF4,'ТУР8'!visitorscore)+SUMIF('ТУР8'!visitor,AF4,'ТУР8'!homescore)</f>
        <v>45</v>
      </c>
      <c r="AM4" s="87">
        <f t="shared" si="2"/>
        <v>-1</v>
      </c>
      <c r="AN4" s="108">
        <f t="array" ref="AN4">AH4*Options!$B$2+AI4*Options!$B$3+AJ4*Options!$B$4+VLOOKUP(AF4,$E$4:$F$8,2,0)</f>
        <v>42</v>
      </c>
      <c r="AO4" s="88">
        <f t="shared" si="3"/>
        <v>4199990044</v>
      </c>
    </row>
    <row r="5">
      <c r="A5" s="88"/>
      <c r="B5" s="91"/>
      <c r="C5" s="60" t="str">
        <f>'ТУР6'!$C$5</f>
        <v>Михаил Ж.</v>
      </c>
      <c r="D5" s="110" t="s">
        <v>46</v>
      </c>
      <c r="E5" s="60" t="str">
        <f>'ТУР6'!$E$5</f>
        <v>YOSEN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YOSEN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12</v>
      </c>
      <c r="Y5" s="105">
        <f t="array" ref="Y5">VLOOKUP($U5,$AF$3:$AN$5,5,0)</f>
        <v>8</v>
      </c>
      <c r="Z5" s="105">
        <f t="array" ref="Z5">VLOOKUP($U5,$AF$3:$AN$5,6,0)</f>
        <v>44</v>
      </c>
      <c r="AA5" s="105">
        <f t="array" ref="AA5">VLOOKUP($U5,$AF$3:$AN$5,7,0)</f>
        <v>45</v>
      </c>
      <c r="AB5" s="105">
        <f t="array" ref="AB5">VLOOKUP($U5,$AF$3:$AN$5,8,0)</f>
        <v>-1</v>
      </c>
      <c r="AC5" s="105">
        <f t="array" ref="AC5">VLOOKUP($U5,$AF$3:$AN$5,9,0)</f>
        <v>42</v>
      </c>
      <c r="AD5" s="28"/>
      <c r="AE5" s="88"/>
      <c r="AF5" s="112" t="str">
        <f t="shared" si="1"/>
        <v>AVTOMAT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3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7">
        <f t="array" ref="AJ5">SUM(('ТУР8'!home=AF5)*('ТУР8'!homescore&lt;'ТУР8'!visitorscore),('ТУР8'!visitor=AF5)*('ТУР8'!visitorscore&lt;'ТУР8'!homescore))</f>
        <v>17</v>
      </c>
      <c r="AK5" s="108">
        <f t="array" ref="AK5">SUMIF('ТУР8'!home,AF5,'ТУР8'!homescore)+SUMIF('ТУР8'!visitor,AF5,'ТУР8'!visitorscore)</f>
        <v>36</v>
      </c>
      <c r="AL5" s="109">
        <f t="array" ref="AL5">SUMIF('ТУР8'!home,AF5,'ТУР8'!visitorscore)+SUMIF('ТУР8'!visitor,AF5,'ТУР8'!homescore)</f>
        <v>53</v>
      </c>
      <c r="AM5" s="87">
        <f t="shared" si="2"/>
        <v>-17</v>
      </c>
      <c r="AN5" s="108">
        <f t="array" ref="AN5">AH5*Options!$B$2+AI5*Options!$B$3+AJ5*Options!$B$4+VLOOKUP(AF5,$E$4:$F$8,2,0)</f>
        <v>19</v>
      </c>
      <c r="AO5" s="88">
        <f t="shared" si="3"/>
        <v>1899830036</v>
      </c>
    </row>
    <row r="6">
      <c r="A6" s="88"/>
      <c r="B6" s="91"/>
      <c r="C6" s="60" t="str">
        <f>'ТУР6'!$C$6</f>
        <v>Вильдан А. </v>
      </c>
      <c r="D6" s="110" t="s">
        <v>47</v>
      </c>
      <c r="E6" s="60" t="str">
        <f>'ТУР6'!$E$6</f>
        <v>AVTOMAT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AVTOMAT</v>
      </c>
      <c r="V6" s="104">
        <f t="array" ref="V6">VLOOKUP($U6,$AF$3:$AN$5,2,0)</f>
        <v>30</v>
      </c>
      <c r="W6" s="105">
        <f t="array" ref="W6">VLOOKUP($U6,$AF$3:$AN$5,3,0)</f>
        <v>3</v>
      </c>
      <c r="X6" s="105">
        <f t="array" ref="X6">VLOOKUP($U6,$AF$3:$AN$5,4,0)</f>
        <v>10</v>
      </c>
      <c r="Y6" s="105">
        <f t="array" ref="Y6">VLOOKUP($U6,$AF$3:$AN$5,5,0)</f>
        <v>17</v>
      </c>
      <c r="Z6" s="105">
        <f t="array" ref="Z6">VLOOKUP($U6,$AF$3:$AN$5,6,0)</f>
        <v>36</v>
      </c>
      <c r="AA6" s="105">
        <f t="array" ref="AA6">VLOOKUP($U6,$AF$3:$AN$5,7,0)</f>
        <v>53</v>
      </c>
      <c r="AB6" s="105">
        <f t="array" ref="AB6">VLOOKUP($U6,$AF$3:$AN$5,8,0)</f>
        <v>-17</v>
      </c>
      <c r="AC6" s="105">
        <f t="array" ref="AC6">VLOOKUP($U6,$AF$3:$AN$5,9,0)</f>
        <v>19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Handzus</v>
      </c>
      <c r="F12" s="118" t="str">
        <f t="shared" ref="F12:F17" si="7">$E$5</f>
        <v>YOSEN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Handzus  - (Финляндия) YOSEN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Handzus</v>
      </c>
      <c r="F13" s="118" t="str">
        <f t="shared" si="7"/>
        <v>YOSEN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Handzus  - (Финляндия) YOSEN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Handzus</v>
      </c>
      <c r="F14" s="118" t="str">
        <f t="shared" si="7"/>
        <v>YOSEN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Handzus  - (Финляндия) YOSEN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AVTOMAT</v>
      </c>
      <c r="F15" s="118" t="str">
        <f t="shared" si="7"/>
        <v>YOSEN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AVTOMAT  - (Финляндия) YOSEN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AVTOMAT</v>
      </c>
      <c r="F16" s="118" t="str">
        <f t="shared" si="7"/>
        <v>YOSEN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AVTOMAT  - (Финляндия) YOSEN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AVTOMAT</v>
      </c>
      <c r="F17" s="118" t="str">
        <f t="shared" si="7"/>
        <v>YOSEN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AVTOMAT  - (Финляндия) YOSEN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AVTOMAT</v>
      </c>
      <c r="F18" s="118" t="str">
        <f t="shared" ref="F18:F23" si="15">$E$4</f>
        <v>Handzus</v>
      </c>
      <c r="G18" s="116">
        <f t="shared" si="8"/>
        <v>0</v>
      </c>
      <c r="H18" s="118"/>
      <c r="I18" s="116">
        <f t="shared" si="9"/>
        <v>0</v>
      </c>
      <c r="J18" s="118"/>
      <c r="K18" s="121">
        <v>0.0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AVTOMAT  - (Швеция) Handzus</v>
      </c>
      <c r="V18" s="88" t="str">
        <f t="shared" si="11"/>
        <v>0:0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AVTOMAT</v>
      </c>
      <c r="F19" s="118" t="str">
        <f t="shared" si="15"/>
        <v>Handzus</v>
      </c>
      <c r="G19" s="116">
        <f t="shared" si="8"/>
        <v>0</v>
      </c>
      <c r="H19" s="118"/>
      <c r="I19" s="116">
        <f t="shared" ref="I19:I23" si="16">SUM(L19,O19)</f>
        <v>2</v>
      </c>
      <c r="J19" s="118"/>
      <c r="K19" s="122">
        <v>0.0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AVTOMAT  - (Швеция) Handzus</v>
      </c>
      <c r="V19" s="88" t="str">
        <f t="shared" si="11"/>
        <v>0:2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AVTOMAT</v>
      </c>
      <c r="F20" s="118" t="str">
        <f t="shared" si="15"/>
        <v>Handzus</v>
      </c>
      <c r="G20" s="116">
        <f t="shared" si="8"/>
        <v>2</v>
      </c>
      <c r="H20" s="118"/>
      <c r="I20" s="116">
        <f t="shared" si="16"/>
        <v>3</v>
      </c>
      <c r="J20" s="118"/>
      <c r="K20" s="122">
        <v>2.0</v>
      </c>
      <c r="L20" s="126">
        <v>3.0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AVTOMAT  - (Швеция) Handzus</v>
      </c>
      <c r="V20" s="88" t="str">
        <f t="shared" si="11"/>
        <v>2:3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YOSEN</v>
      </c>
      <c r="F21" s="118" t="str">
        <f t="shared" si="15"/>
        <v>Handzus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YOSEN  - (Швеция) Handzus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YOSEN</v>
      </c>
      <c r="F22" s="118" t="str">
        <f t="shared" si="15"/>
        <v>Handzus</v>
      </c>
      <c r="G22" s="116">
        <f t="shared" si="8"/>
        <v>2</v>
      </c>
      <c r="H22" s="118"/>
      <c r="I22" s="116">
        <f t="shared" si="16"/>
        <v>1</v>
      </c>
      <c r="J22" s="118"/>
      <c r="K22" s="122">
        <v>2.0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YOSEN  - (Швеция) Handzus</v>
      </c>
      <c r="V22" s="88" t="str">
        <f t="shared" si="11"/>
        <v>2:1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YOSEN</v>
      </c>
      <c r="F23" s="118" t="str">
        <f t="shared" si="15"/>
        <v>Handzus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YOSEN  - (Швеция) Handzus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YOSEN</v>
      </c>
      <c r="F24" s="127" t="str">
        <f t="shared" ref="F24:F29" si="20">$E$6</f>
        <v>AVTOMAT</v>
      </c>
      <c r="G24" s="116">
        <f t="shared" si="8"/>
        <v>3</v>
      </c>
      <c r="H24" s="118"/>
      <c r="I24" s="116">
        <f t="shared" ref="I24:I30" si="21">SUM(L24)</f>
        <v>1</v>
      </c>
      <c r="J24" s="118"/>
      <c r="K24" s="121">
        <v>3.0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YOSEN  - (Чехия) AVTOMAT</v>
      </c>
      <c r="V24" s="88" t="str">
        <f t="shared" si="11"/>
        <v>3:1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YOSEN</v>
      </c>
      <c r="F25" s="127" t="str">
        <f t="shared" si="20"/>
        <v>AVTOMAT</v>
      </c>
      <c r="G25" s="116">
        <f t="shared" si="8"/>
        <v>2</v>
      </c>
      <c r="H25" s="118"/>
      <c r="I25" s="116">
        <f t="shared" si="21"/>
        <v>1</v>
      </c>
      <c r="J25" s="118"/>
      <c r="K25" s="122">
        <v>2.0</v>
      </c>
      <c r="L25" s="126">
        <v>1.0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YOSEN  - (Чехия) AVTOMAT</v>
      </c>
      <c r="V25" s="88" t="str">
        <f t="shared" si="11"/>
        <v>2:1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YOSEN</v>
      </c>
      <c r="F26" s="127" t="str">
        <f t="shared" si="20"/>
        <v>AVTOMAT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YOSEN  - (Чехия) AVTOMAT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Handzus</v>
      </c>
      <c r="F27" s="127" t="str">
        <f t="shared" si="20"/>
        <v>AVTOMAT</v>
      </c>
      <c r="G27" s="116">
        <f t="shared" si="8"/>
        <v>2</v>
      </c>
      <c r="H27" s="118"/>
      <c r="I27" s="116">
        <f t="shared" si="21"/>
        <v>1</v>
      </c>
      <c r="J27" s="118"/>
      <c r="K27" s="122">
        <v>2.0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Handzus  - (Чехия) AVTOMAT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Handzus</v>
      </c>
      <c r="F28" s="127" t="str">
        <f t="shared" si="20"/>
        <v>AVTOMAT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Handzus  - (Чехия) AVTOMAT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Handzus</v>
      </c>
      <c r="F29" s="127" t="str">
        <f t="shared" si="20"/>
        <v>AVTOMAT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Handzus  - (Чехия) AVTOMAT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Handzus</v>
      </c>
      <c r="F30" s="118" t="str">
        <f t="shared" ref="F30:F35" si="25">$E$5</f>
        <v>YOSEN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Handzus  - (Финляндия) YOSEN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Handzus</v>
      </c>
      <c r="F31" s="118" t="str">
        <f t="shared" si="25"/>
        <v>YOSEN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Handzus  - (Финляндия) YOSEN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Handzus</v>
      </c>
      <c r="F32" s="118" t="str">
        <f t="shared" si="25"/>
        <v>YOSEN</v>
      </c>
      <c r="G32" s="116">
        <f t="shared" si="8"/>
        <v>1</v>
      </c>
      <c r="H32" s="118"/>
      <c r="I32" s="116">
        <f t="shared" si="26"/>
        <v>2</v>
      </c>
      <c r="J32" s="118"/>
      <c r="K32" s="122">
        <v>1.0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Handzus  - (Финляндия) YOSEN</v>
      </c>
      <c r="V32" s="88" t="str">
        <f t="shared" si="11"/>
        <v>1:2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AVTOMAT</v>
      </c>
      <c r="F33" s="118" t="str">
        <f t="shared" si="25"/>
        <v>YOSEN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AVTOMAT  - (Финляндия) YOSEN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AVTOMAT</v>
      </c>
      <c r="F34" s="118" t="str">
        <f t="shared" si="25"/>
        <v>YOSEN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AVTOMAT  - (Финляндия) YOSEN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AVTOMAT</v>
      </c>
      <c r="F35" s="118" t="str">
        <f t="shared" si="25"/>
        <v>YOSEN</v>
      </c>
      <c r="G35" s="116">
        <f t="shared" si="8"/>
        <v>3</v>
      </c>
      <c r="H35" s="118"/>
      <c r="I35" s="116">
        <f t="shared" si="26"/>
        <v>3</v>
      </c>
      <c r="J35" s="118"/>
      <c r="K35" s="118">
        <v>3.0</v>
      </c>
      <c r="L35" s="118">
        <v>3.0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AVTOMAT  - (Финляндия) YOSEN</v>
      </c>
      <c r="V35" s="88" t="str">
        <f t="shared" si="11"/>
        <v>3:3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AVTOMAT</v>
      </c>
      <c r="F36" s="118" t="str">
        <f t="shared" ref="F36:F41" si="30">$E$4</f>
        <v>Handzus</v>
      </c>
      <c r="G36" s="116">
        <f t="shared" si="8"/>
        <v>2</v>
      </c>
      <c r="H36" s="118"/>
      <c r="I36" s="116">
        <f t="shared" ref="I36:I42" si="31">SUM(L36)</f>
        <v>3</v>
      </c>
      <c r="J36" s="118"/>
      <c r="K36" s="121">
        <v>2.0</v>
      </c>
      <c r="L36" s="123">
        <v>3.0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AVTOMAT  - (Швеция) Handzus</v>
      </c>
      <c r="V36" s="88" t="str">
        <f t="shared" si="11"/>
        <v>2:3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AVTOMAT</v>
      </c>
      <c r="F37" s="118" t="str">
        <f t="shared" si="30"/>
        <v>Handzus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AVTOMAT  - (Швеция) Handzus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AVTOMAT</v>
      </c>
      <c r="F38" s="118" t="str">
        <f t="shared" si="30"/>
        <v>Handzus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AVTOMAT  - (Швеция) Handzus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YOSEN</v>
      </c>
      <c r="F39" s="118" t="str">
        <f t="shared" si="30"/>
        <v>Handzus</v>
      </c>
      <c r="G39" s="116">
        <f t="shared" si="8"/>
        <v>3</v>
      </c>
      <c r="H39" s="118"/>
      <c r="I39" s="116">
        <f t="shared" si="31"/>
        <v>2</v>
      </c>
      <c r="J39" s="118"/>
      <c r="K39" s="122">
        <v>3.0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YOSEN  - (Швеция) Handzus</v>
      </c>
      <c r="V39" s="88" t="str">
        <f t="shared" si="11"/>
        <v>3:2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YOSEN</v>
      </c>
      <c r="F40" s="118" t="str">
        <f t="shared" si="30"/>
        <v>Handzus</v>
      </c>
      <c r="G40" s="116">
        <f t="shared" si="8"/>
        <v>0</v>
      </c>
      <c r="H40" s="118"/>
      <c r="I40" s="116">
        <f t="shared" si="31"/>
        <v>2</v>
      </c>
      <c r="J40" s="118"/>
      <c r="K40" s="122">
        <v>0.0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YOSEN  - (Швеция) Handzus</v>
      </c>
      <c r="V40" s="88" t="str">
        <f t="shared" si="11"/>
        <v>0:2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YOSEN</v>
      </c>
      <c r="F41" s="118" t="str">
        <f t="shared" si="30"/>
        <v>Handzus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YOSEN  - (Швеция) Handzus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YOSEN</v>
      </c>
      <c r="F42" s="118" t="str">
        <f t="shared" ref="F42:F47" si="35">$E$6</f>
        <v>AVTOMAT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YOSEN  - (Чехия) AVTOMAT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YOSEN</v>
      </c>
      <c r="F43" s="118" t="str">
        <f t="shared" si="35"/>
        <v>AVTOMAT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YOSEN  - (Чехия) AVTOMAT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YOSEN</v>
      </c>
      <c r="F44" s="118" t="str">
        <f t="shared" si="35"/>
        <v>AVTOMAT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YOSEN  - (Чехия) AVTOMAT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Handzus</v>
      </c>
      <c r="F45" s="118" t="str">
        <f t="shared" si="35"/>
        <v>AVTOMAT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Handzus  - (Чехия) AVTOMAT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Handzus</v>
      </c>
      <c r="F46" s="118" t="str">
        <f t="shared" si="35"/>
        <v>AVTOMAT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Handzus  - (Чехия) AVTOMAT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Handzus</v>
      </c>
      <c r="F47" s="118" t="str">
        <f t="shared" si="35"/>
        <v>AVTOMAT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Handzus  - (Чехия) AVTOMAT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Handzus</v>
      </c>
      <c r="F48" s="118" t="str">
        <f t="shared" ref="F48:F53" si="40">$E$5</f>
        <v>YOSEN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Handzus  - (Финляндия) YOSEN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Handzus</v>
      </c>
      <c r="F49" s="118" t="str">
        <f t="shared" si="40"/>
        <v>YOSEN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Handzus  - (Финляндия) YOSEN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Handzus</v>
      </c>
      <c r="F50" s="118" t="str">
        <f t="shared" si="40"/>
        <v>YOSEN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Handzus  - (Финляндия) YOSEN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AVTOMAT</v>
      </c>
      <c r="F51" s="118" t="str">
        <f t="shared" si="40"/>
        <v>YOSEN</v>
      </c>
      <c r="G51" s="116">
        <f t="shared" si="8"/>
        <v>1</v>
      </c>
      <c r="H51" s="118"/>
      <c r="I51" s="116">
        <f t="shared" si="41"/>
        <v>1</v>
      </c>
      <c r="J51" s="118"/>
      <c r="K51" s="122">
        <v>1.0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AVTOMAT  - (Финляндия) YOSEN</v>
      </c>
      <c r="V51" s="88" t="str">
        <f t="shared" si="11"/>
        <v>1:1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AVTOMAT</v>
      </c>
      <c r="F52" s="118" t="str">
        <f t="shared" si="40"/>
        <v>YOSEN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AVTOMAT  - (Финляндия) YOSEN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AVTOMAT</v>
      </c>
      <c r="F53" s="118" t="str">
        <f t="shared" si="40"/>
        <v>YOSEN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AVTOMAT  - (Финляндия) YOSEN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AVTOMAT</v>
      </c>
      <c r="F54" s="118" t="str">
        <f t="shared" ref="F54:F56" si="45">$E$4</f>
        <v>Handzus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AVTOMAT  - (Швеция) Handzus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AVTOMAT</v>
      </c>
      <c r="F55" s="118" t="str">
        <f t="shared" si="45"/>
        <v>Handzus</v>
      </c>
      <c r="G55" s="116">
        <f t="shared" si="8"/>
        <v>0</v>
      </c>
      <c r="H55" s="118"/>
      <c r="I55" s="116">
        <f t="shared" si="46"/>
        <v>1</v>
      </c>
      <c r="J55" s="118"/>
      <c r="K55" s="122">
        <v>0.0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AVTOMAT  - (Швеция) Handzus</v>
      </c>
      <c r="V55" s="88" t="str">
        <f t="shared" si="11"/>
        <v>0:1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AVTOMAT</v>
      </c>
      <c r="F56" s="118" t="str">
        <f t="shared" si="45"/>
        <v>Handzus</v>
      </c>
      <c r="G56" s="116">
        <f t="shared" si="8"/>
        <v>1</v>
      </c>
      <c r="H56" s="118"/>
      <c r="I56" s="116">
        <f t="shared" si="46"/>
        <v>1</v>
      </c>
      <c r="J56" s="118"/>
      <c r="K56" s="122">
        <v>1.0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AVTOMAT  - (Швеция) Handzus</v>
      </c>
      <c r="V56" s="88" t="str">
        <f t="shared" si="11"/>
        <v>1:1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24.14"/>
    <col customWidth="1" min="5" max="5" width="14.71"/>
    <col customWidth="1" min="6" max="6" width="18.71"/>
    <col customWidth="1" min="7" max="7" width="16.43"/>
    <col customWidth="1" min="8" max="8" width="8.71"/>
    <col customWidth="1" min="9" max="9" width="22.86"/>
    <col customWidth="1" min="11" max="11" width="16.29"/>
    <col customWidth="1" min="12" max="12" width="16.71"/>
    <col customWidth="1" min="13" max="22" width="8.71"/>
  </cols>
  <sheetData>
    <row r="1">
      <c r="A1" s="102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ht="21.7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ht="23.25" customHeight="1">
      <c r="A3" s="88"/>
      <c r="B3" s="88"/>
      <c r="C3" s="88"/>
      <c r="D3" s="3" t="s">
        <v>2</v>
      </c>
      <c r="E3" s="4"/>
      <c r="F3" s="140" t="s">
        <v>3</v>
      </c>
      <c r="G3" s="141">
        <f>'ТУР1'!$F$1</f>
        <v>45697</v>
      </c>
      <c r="H3" s="12"/>
      <c r="I3" s="3" t="s">
        <v>2</v>
      </c>
      <c r="J3" s="4"/>
      <c r="K3" s="140" t="s">
        <v>45</v>
      </c>
      <c r="L3" s="141">
        <f>'ТУР1'!$F$1</f>
        <v>45697</v>
      </c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ht="17.25" customHeight="1">
      <c r="A4" s="88"/>
      <c r="B4" s="88"/>
      <c r="C4" s="88"/>
      <c r="D4" s="12"/>
      <c r="E4" s="12"/>
      <c r="F4" s="12"/>
      <c r="G4" s="12"/>
      <c r="H4" s="12"/>
      <c r="I4" s="12"/>
      <c r="J4" s="12"/>
      <c r="K4" s="12"/>
      <c r="L4" s="12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ht="15.0" customHeight="1">
      <c r="A5" s="88"/>
      <c r="B5" s="88"/>
      <c r="C5" s="88"/>
      <c r="D5" s="24" t="s">
        <v>13</v>
      </c>
      <c r="E5" s="24" t="s">
        <v>14</v>
      </c>
      <c r="F5" s="24" t="s">
        <v>15</v>
      </c>
      <c r="G5" s="12"/>
      <c r="H5" s="12"/>
      <c r="I5" s="24" t="s">
        <v>13</v>
      </c>
      <c r="J5" s="24" t="s">
        <v>14</v>
      </c>
      <c r="K5" s="24" t="s">
        <v>15</v>
      </c>
      <c r="L5" s="12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ht="15.0" customHeight="1">
      <c r="A6" s="88"/>
      <c r="B6" s="88"/>
      <c r="C6" s="88"/>
      <c r="D6" s="142" t="str">
        <f>'ТУР1'!$C$4</f>
        <v>Эмиль С.</v>
      </c>
      <c r="E6" s="142" t="str">
        <f>'ТУР1'!$D$4</f>
        <v>Канада</v>
      </c>
      <c r="F6" s="142" t="str">
        <f>'ТУР1'!$E$4</f>
        <v>Emqa</v>
      </c>
      <c r="G6" s="12"/>
      <c r="H6" s="12"/>
      <c r="I6" s="142" t="str">
        <f>'ТУР2'!$C$4</f>
        <v>Эмиль С.</v>
      </c>
      <c r="J6" s="142" t="str">
        <f>'ТУР2'!$D$4</f>
        <v>Финляндия</v>
      </c>
      <c r="K6" s="142" t="str">
        <f>'ТУР2'!$E$4</f>
        <v>Emqa</v>
      </c>
      <c r="L6" s="12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ht="15.0" customHeight="1">
      <c r="A7" s="88"/>
      <c r="B7" s="88"/>
      <c r="C7" s="88"/>
      <c r="D7" s="142" t="str">
        <f>'ТУР1'!$C$5</f>
        <v>Адис А.</v>
      </c>
      <c r="E7" s="142" t="str">
        <f>'ТУР1'!$D$5</f>
        <v>США</v>
      </c>
      <c r="F7" s="142" t="str">
        <f>'ТУР1'!$E$5</f>
        <v>Adisey95</v>
      </c>
      <c r="G7" s="12"/>
      <c r="H7" s="12"/>
      <c r="I7" s="142" t="str">
        <f>'ТУР2'!$C$5</f>
        <v>Адис А.</v>
      </c>
      <c r="J7" s="142" t="str">
        <f>'ТУР2'!$D$5</f>
        <v>Чехия</v>
      </c>
      <c r="K7" s="142" t="str">
        <f>'ТУР2'!$E$5</f>
        <v>Adisey95</v>
      </c>
      <c r="L7" s="12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ht="15.0" customHeight="1">
      <c r="A8" s="88"/>
      <c r="B8" s="88"/>
      <c r="C8" s="88"/>
      <c r="D8" s="142" t="str">
        <f>'ТУР1'!$C$6</f>
        <v>Ренат И.</v>
      </c>
      <c r="E8" s="142" t="str">
        <f>'ТУР1'!$D$6</f>
        <v>Швеция</v>
      </c>
      <c r="F8" s="142" t="str">
        <f>'ТУР1'!$E$6</f>
        <v>Slippers</v>
      </c>
      <c r="G8" s="12"/>
      <c r="H8" s="12"/>
      <c r="I8" s="142" t="str">
        <f>'ТУР2'!$C$6</f>
        <v>Ренат И.</v>
      </c>
      <c r="J8" s="142" t="str">
        <f>'ТУР2'!$D$6</f>
        <v>Германия</v>
      </c>
      <c r="K8" s="142" t="str">
        <f>'ТУР2'!$E$6</f>
        <v>Slippers</v>
      </c>
      <c r="L8" s="12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ht="17.25" customHeight="1">
      <c r="A9" s="88"/>
      <c r="B9" s="88"/>
      <c r="C9" s="88"/>
      <c r="D9" s="12"/>
      <c r="E9" s="12"/>
      <c r="F9" s="12"/>
      <c r="G9" s="12"/>
      <c r="H9" s="12"/>
      <c r="I9" s="12"/>
      <c r="J9" s="12"/>
      <c r="K9" s="12"/>
      <c r="L9" s="12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ht="17.25" customHeight="1">
      <c r="A10" s="88"/>
      <c r="B10" s="88"/>
      <c r="C10" s="88"/>
      <c r="D10" s="12"/>
      <c r="E10" s="12"/>
      <c r="F10" s="12"/>
      <c r="G10" s="12"/>
      <c r="H10" s="12"/>
      <c r="I10" s="12"/>
      <c r="J10" s="12"/>
      <c r="K10" s="12"/>
      <c r="L10" s="12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ht="17.25" customHeight="1">
      <c r="A11" s="88"/>
      <c r="B11" s="88"/>
      <c r="C11" s="88"/>
      <c r="D11" s="12"/>
      <c r="E11" s="12"/>
      <c r="F11" s="12"/>
      <c r="G11" s="12"/>
      <c r="H11" s="12"/>
      <c r="I11" s="12"/>
      <c r="J11" s="12"/>
      <c r="K11" s="12"/>
      <c r="L11" s="12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ht="20.25" customHeight="1">
      <c r="A12" s="88"/>
      <c r="B12" s="88"/>
      <c r="C12" s="88"/>
      <c r="D12" s="3" t="s">
        <v>2</v>
      </c>
      <c r="E12" s="4"/>
      <c r="F12" s="140" t="s">
        <v>51</v>
      </c>
      <c r="G12" s="141">
        <f>'ТУР1'!$F$1</f>
        <v>45697</v>
      </c>
      <c r="H12" s="12"/>
      <c r="I12" s="3" t="s">
        <v>2</v>
      </c>
      <c r="J12" s="4"/>
      <c r="K12" s="140" t="s">
        <v>59</v>
      </c>
      <c r="L12" s="141">
        <f>'ТУР1'!$F$1</f>
        <v>45697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ht="17.25" customHeight="1">
      <c r="A13" s="88"/>
      <c r="B13" s="88"/>
      <c r="C13" s="88"/>
      <c r="D13" s="12"/>
      <c r="E13" s="12"/>
      <c r="F13" s="12"/>
      <c r="G13" s="12"/>
      <c r="H13" s="12"/>
      <c r="I13" s="12"/>
      <c r="J13" s="12"/>
      <c r="K13" s="12"/>
      <c r="L13" s="12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ht="15.0" customHeight="1">
      <c r="A14" s="88"/>
      <c r="B14" s="88"/>
      <c r="C14" s="88"/>
      <c r="D14" s="24" t="s">
        <v>13</v>
      </c>
      <c r="E14" s="24" t="s">
        <v>14</v>
      </c>
      <c r="F14" s="24" t="s">
        <v>15</v>
      </c>
      <c r="G14" s="12"/>
      <c r="H14" s="12"/>
      <c r="I14" s="24" t="s">
        <v>13</v>
      </c>
      <c r="J14" s="24" t="s">
        <v>14</v>
      </c>
      <c r="K14" s="24" t="s">
        <v>15</v>
      </c>
      <c r="L14" s="12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ht="15.0" customHeight="1">
      <c r="A15" s="88"/>
      <c r="B15" s="88"/>
      <c r="C15" s="88"/>
      <c r="D15" s="142" t="str">
        <f>'ТУР3'!$C$4</f>
        <v>Руслан С. </v>
      </c>
      <c r="E15" s="142" t="str">
        <f>'ТУР3'!$D$4</f>
        <v>Швейцария</v>
      </c>
      <c r="F15" s="142" t="str">
        <f>'ТУР3'!$E$4</f>
        <v>rio2k</v>
      </c>
      <c r="G15" s="12"/>
      <c r="H15" s="12"/>
      <c r="I15" s="142" t="str">
        <f>'ТУР4'!$C$4</f>
        <v>Руслан С. </v>
      </c>
      <c r="J15" s="142" t="str">
        <f>'ТУР4'!$D$4</f>
        <v>Швеция</v>
      </c>
      <c r="K15" s="142" t="str">
        <f>'ТУР4'!$E$4</f>
        <v>rio2k</v>
      </c>
      <c r="L15" s="12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ht="15.0" customHeight="1">
      <c r="A16" s="88"/>
      <c r="B16" s="88"/>
      <c r="C16" s="88"/>
      <c r="D16" s="142" t="str">
        <f>'ТУР3'!$C$5</f>
        <v>Дмитрий П.</v>
      </c>
      <c r="E16" s="142" t="str">
        <f>'ТУР3'!$D$5</f>
        <v>Канада</v>
      </c>
      <c r="F16" s="142" t="str">
        <f>'ТУР3'!$E$5</f>
        <v>MBK</v>
      </c>
      <c r="G16" s="12"/>
      <c r="H16" s="12"/>
      <c r="I16" s="142" t="str">
        <f>'ТУР4'!$C$5</f>
        <v>Дмитрий П.</v>
      </c>
      <c r="J16" s="142" t="str">
        <f>'ТУР4'!$D$5</f>
        <v>Финляндия</v>
      </c>
      <c r="K16" s="142" t="str">
        <f>'ТУР4'!$E$5</f>
        <v>MBK</v>
      </c>
      <c r="L16" s="12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ht="15.0" customHeight="1">
      <c r="A17" s="88"/>
      <c r="B17" s="88"/>
      <c r="C17" s="88"/>
      <c r="D17" s="142" t="str">
        <f>'ТУР3'!$C$6</f>
        <v>Илья Я. </v>
      </c>
      <c r="E17" s="142" t="str">
        <f>'ТУР3'!$D$6</f>
        <v>США</v>
      </c>
      <c r="F17" s="142" t="str">
        <f>'ТУР3'!$E$6</f>
        <v>Deqim</v>
      </c>
      <c r="G17" s="12"/>
      <c r="H17" s="12"/>
      <c r="I17" s="142" t="str">
        <f>'ТУР4'!$C$6</f>
        <v>Илья Я. </v>
      </c>
      <c r="J17" s="142" t="str">
        <f>'ТУР4'!$D$6</f>
        <v>Чехия</v>
      </c>
      <c r="K17" s="142" t="str">
        <f>'ТУР4'!$E$6</f>
        <v>Deqim</v>
      </c>
      <c r="L17" s="12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ht="17.25" customHeight="1">
      <c r="A18" s="88"/>
      <c r="B18" s="88"/>
      <c r="C18" s="88"/>
      <c r="D18" s="12"/>
      <c r="E18" s="12"/>
      <c r="F18" s="12"/>
      <c r="G18" s="12"/>
      <c r="H18" s="12"/>
      <c r="I18" s="12"/>
      <c r="J18" s="12"/>
      <c r="K18" s="12"/>
      <c r="L18" s="12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ht="17.25" customHeight="1">
      <c r="A19" s="88"/>
      <c r="B19" s="88"/>
      <c r="C19" s="88"/>
      <c r="D19" s="12"/>
      <c r="E19" s="12"/>
      <c r="F19" s="12"/>
      <c r="G19" s="12"/>
      <c r="H19" s="12"/>
      <c r="I19" s="12"/>
      <c r="J19" s="12"/>
      <c r="K19" s="12"/>
      <c r="L19" s="12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ht="17.25" customHeight="1">
      <c r="A20" s="88"/>
      <c r="B20" s="88"/>
      <c r="C20" s="88"/>
      <c r="D20" s="12"/>
      <c r="E20" s="12"/>
      <c r="F20" s="12"/>
      <c r="G20" s="12"/>
      <c r="H20" s="12"/>
      <c r="I20" s="12"/>
      <c r="J20" s="12"/>
      <c r="K20" s="12"/>
      <c r="L20" s="12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24.0" customHeight="1">
      <c r="A21" s="88"/>
      <c r="B21" s="88"/>
      <c r="C21" s="88"/>
      <c r="D21" s="3" t="s">
        <v>2</v>
      </c>
      <c r="E21" s="4"/>
      <c r="F21" s="140" t="s">
        <v>60</v>
      </c>
      <c r="G21" s="141">
        <f>'ТУР1'!$F$1</f>
        <v>45697</v>
      </c>
      <c r="H21" s="12"/>
      <c r="I21" s="3" t="s">
        <v>2</v>
      </c>
      <c r="J21" s="4"/>
      <c r="K21" s="140" t="s">
        <v>61</v>
      </c>
      <c r="L21" s="141">
        <f>'ТУР1'!$F$1</f>
        <v>45697</v>
      </c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7.25" customHeight="1">
      <c r="A22" s="88"/>
      <c r="B22" s="88"/>
      <c r="C22" s="88"/>
      <c r="D22" s="12"/>
      <c r="E22" s="12"/>
      <c r="F22" s="12"/>
      <c r="G22" s="12"/>
      <c r="H22" s="12"/>
      <c r="I22" s="12"/>
      <c r="J22" s="12"/>
      <c r="K22" s="12"/>
      <c r="L22" s="12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4.25" customHeight="1">
      <c r="A23" s="88"/>
      <c r="B23" s="88"/>
      <c r="C23" s="88"/>
      <c r="D23" s="24" t="s">
        <v>13</v>
      </c>
      <c r="E23" s="24" t="s">
        <v>14</v>
      </c>
      <c r="F23" s="24" t="s">
        <v>15</v>
      </c>
      <c r="G23" s="12"/>
      <c r="H23" s="12"/>
      <c r="I23" s="24" t="s">
        <v>13</v>
      </c>
      <c r="J23" s="24" t="s">
        <v>14</v>
      </c>
      <c r="K23" s="24" t="s">
        <v>15</v>
      </c>
      <c r="L23" s="12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4.25" customHeight="1">
      <c r="A24" s="88"/>
      <c r="B24" s="88"/>
      <c r="C24" s="88"/>
      <c r="D24" s="142" t="str">
        <f>'ТУР5'!$C$4</f>
        <v>Руслан С. </v>
      </c>
      <c r="E24" s="142" t="str">
        <f>'ТУР5'!$D$4</f>
        <v>Канада</v>
      </c>
      <c r="F24" s="142" t="str">
        <f>'ТУР5'!$E$4</f>
        <v>rio2k</v>
      </c>
      <c r="G24" s="12"/>
      <c r="H24" s="12"/>
      <c r="I24" s="142" t="str">
        <f>'ТУР6'!$C$4</f>
        <v>Евгений Б.</v>
      </c>
      <c r="J24" s="142" t="str">
        <f>'ТУР6'!$D$4</f>
        <v>Финляндия</v>
      </c>
      <c r="K24" s="142" t="str">
        <f>'ТУР6'!$E$4</f>
        <v>Handzus</v>
      </c>
      <c r="L24" s="12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4.25" customHeight="1">
      <c r="A25" s="88"/>
      <c r="B25" s="88"/>
      <c r="C25" s="88"/>
      <c r="D25" s="142" t="str">
        <f>'ТУР5'!$C$5</f>
        <v>Дмитрий П.</v>
      </c>
      <c r="E25" s="142" t="str">
        <f>'ТУР5'!$D$5</f>
        <v>США</v>
      </c>
      <c r="F25" s="142" t="str">
        <f>'ТУР5'!$E$5</f>
        <v>MBK</v>
      </c>
      <c r="G25" s="12"/>
      <c r="H25" s="12"/>
      <c r="I25" s="142" t="str">
        <f>'ТУР6'!$C$5</f>
        <v>Михаил Ж.</v>
      </c>
      <c r="J25" s="142" t="str">
        <f>'ТУР6'!$D$5</f>
        <v>Чехия</v>
      </c>
      <c r="K25" s="142" t="str">
        <f>'ТУР6'!$E$5</f>
        <v>YOSEN</v>
      </c>
      <c r="L25" s="12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4.25" customHeight="1">
      <c r="A26" s="88"/>
      <c r="B26" s="88"/>
      <c r="C26" s="88"/>
      <c r="D26" s="142" t="str">
        <f>'ТУР5'!$C$6</f>
        <v>Илья Я. </v>
      </c>
      <c r="E26" s="142" t="str">
        <f>'ТУР5'!$D$6</f>
        <v>Швеция</v>
      </c>
      <c r="F26" s="142" t="str">
        <f>'ТУР5'!$E$6</f>
        <v>Deqim</v>
      </c>
      <c r="G26" s="12"/>
      <c r="H26" s="12"/>
      <c r="I26" s="142" t="str">
        <f>'ТУР6'!$C$6</f>
        <v>Вильдан А. </v>
      </c>
      <c r="J26" s="142" t="str">
        <f>'ТУР6'!$D$6</f>
        <v>Германия</v>
      </c>
      <c r="K26" s="142" t="str">
        <f>'ТУР6'!$E$6</f>
        <v>AVTOMAT</v>
      </c>
      <c r="L26" s="12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7.25" customHeight="1">
      <c r="A27" s="88"/>
      <c r="B27" s="88"/>
      <c r="C27" s="88"/>
      <c r="D27" s="12"/>
      <c r="E27" s="12"/>
      <c r="F27" s="12"/>
      <c r="G27" s="12"/>
      <c r="H27" s="12"/>
      <c r="I27" s="12"/>
      <c r="J27" s="12"/>
      <c r="K27" s="12"/>
      <c r="L27" s="12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7.25" customHeight="1">
      <c r="A28" s="88"/>
      <c r="B28" s="88"/>
      <c r="C28" s="88"/>
      <c r="D28" s="12"/>
      <c r="E28" s="12"/>
      <c r="F28" s="12"/>
      <c r="G28" s="12"/>
      <c r="H28" s="12"/>
      <c r="I28" s="12"/>
      <c r="J28" s="12"/>
      <c r="K28" s="12"/>
      <c r="L28" s="12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7.25" customHeight="1">
      <c r="A29" s="88"/>
      <c r="B29" s="88"/>
      <c r="C29" s="88"/>
      <c r="D29" s="12"/>
      <c r="E29" s="12"/>
      <c r="F29" s="12"/>
      <c r="G29" s="12"/>
      <c r="H29" s="12"/>
      <c r="I29" s="12"/>
      <c r="J29" s="12"/>
      <c r="K29" s="12"/>
      <c r="L29" s="12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22.5" customHeight="1">
      <c r="A30" s="88"/>
      <c r="B30" s="88"/>
      <c r="C30" s="88"/>
      <c r="D30" s="3" t="s">
        <v>2</v>
      </c>
      <c r="E30" s="4"/>
      <c r="F30" s="140" t="s">
        <v>68</v>
      </c>
      <c r="G30" s="141">
        <f>'ТУР1'!$F$1</f>
        <v>45697</v>
      </c>
      <c r="H30" s="12"/>
      <c r="I30" s="3" t="s">
        <v>2</v>
      </c>
      <c r="J30" s="4"/>
      <c r="K30" s="140" t="s">
        <v>69</v>
      </c>
      <c r="L30" s="141">
        <f>'ТУР1'!$F$1</f>
        <v>45697</v>
      </c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7.25" customHeight="1">
      <c r="A31" s="88"/>
      <c r="B31" s="88"/>
      <c r="C31" s="88"/>
      <c r="D31" s="12"/>
      <c r="E31" s="12"/>
      <c r="F31" s="12"/>
      <c r="G31" s="12"/>
      <c r="H31" s="12"/>
      <c r="I31" s="12"/>
      <c r="J31" s="12"/>
      <c r="K31" s="12"/>
      <c r="L31" s="12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0" customHeight="1">
      <c r="A32" s="88"/>
      <c r="B32" s="88"/>
      <c r="C32" s="88"/>
      <c r="D32" s="24" t="s">
        <v>13</v>
      </c>
      <c r="E32" s="24" t="s">
        <v>14</v>
      </c>
      <c r="F32" s="24" t="s">
        <v>15</v>
      </c>
      <c r="G32" s="12"/>
      <c r="H32" s="12"/>
      <c r="I32" s="24" t="s">
        <v>13</v>
      </c>
      <c r="J32" s="24" t="s">
        <v>14</v>
      </c>
      <c r="K32" s="24" t="s">
        <v>15</v>
      </c>
      <c r="L32" s="12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0" customHeight="1">
      <c r="A33" s="88"/>
      <c r="B33" s="88"/>
      <c r="C33" s="88"/>
      <c r="D33" s="142" t="str">
        <f>'ТУР7'!$C$4</f>
        <v>Евгений Б.</v>
      </c>
      <c r="E33" s="142" t="str">
        <f>'ТУР7'!$D$4</f>
        <v>Швейцария</v>
      </c>
      <c r="F33" s="142" t="str">
        <f>'ТУР7'!$E$4</f>
        <v>Handzus</v>
      </c>
      <c r="G33" s="12"/>
      <c r="H33" s="12"/>
      <c r="I33" s="142" t="str">
        <f>'ТУР8'!$C$4</f>
        <v>Евгений Б.</v>
      </c>
      <c r="J33" s="142" t="str">
        <f>'ТУР8'!$D$4</f>
        <v>Швеция</v>
      </c>
      <c r="K33" s="142" t="str">
        <f>'ТУР8'!$E$4</f>
        <v>Handzus</v>
      </c>
      <c r="L33" s="12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0" customHeight="1">
      <c r="A34" s="88"/>
      <c r="B34" s="88"/>
      <c r="C34" s="88"/>
      <c r="D34" s="142" t="str">
        <f>'ТУР7'!$C$5</f>
        <v>Михаил Ж.</v>
      </c>
      <c r="E34" s="142" t="str">
        <f>'ТУР7'!$D$5</f>
        <v>Канада</v>
      </c>
      <c r="F34" s="142" t="str">
        <f>'ТУР7'!$E$5</f>
        <v>YOSEN</v>
      </c>
      <c r="G34" s="12"/>
      <c r="H34" s="12"/>
      <c r="I34" s="142" t="str">
        <f>'ТУР8'!$C$5</f>
        <v>Михаил Ж.</v>
      </c>
      <c r="J34" s="142" t="str">
        <f>'ТУР8'!$D$5</f>
        <v>Финляндия</v>
      </c>
      <c r="K34" s="142" t="str">
        <f>'ТУР8'!$E$5</f>
        <v>YOSEN</v>
      </c>
      <c r="L34" s="12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0" customHeight="1">
      <c r="A35" s="88"/>
      <c r="B35" s="88"/>
      <c r="C35" s="88"/>
      <c r="D35" s="142" t="str">
        <f>'ТУР7'!$C$6</f>
        <v>Вильдан А. </v>
      </c>
      <c r="E35" s="142" t="str">
        <f>'ТУР7'!$D$6</f>
        <v>США</v>
      </c>
      <c r="F35" s="142" t="str">
        <f>'ТУР7'!$E$6</f>
        <v>AVTOMAT</v>
      </c>
      <c r="G35" s="12"/>
      <c r="H35" s="12"/>
      <c r="I35" s="142" t="str">
        <f>'ТУР8'!$C$6</f>
        <v>Вильдан А. </v>
      </c>
      <c r="J35" s="142" t="str">
        <f>'ТУР8'!$D$6</f>
        <v>Чехия</v>
      </c>
      <c r="K35" s="142" t="str">
        <f>'ТУР8'!$E$6</f>
        <v>AVTOMAT</v>
      </c>
      <c r="L35" s="12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D3:E3"/>
    <mergeCell ref="I3:J3"/>
    <mergeCell ref="D12:E12"/>
    <mergeCell ref="I12:J12"/>
    <mergeCell ref="D21:E21"/>
    <mergeCell ref="I21:J21"/>
    <mergeCell ref="D30:E30"/>
    <mergeCell ref="I30:J30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3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4" t="s">
        <v>71</v>
      </c>
      <c r="B2" s="145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5" t="s">
        <v>72</v>
      </c>
      <c r="B3" s="145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5" t="s">
        <v>73</v>
      </c>
      <c r="B4" s="145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