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<sst xmlns="http://schemas.openxmlformats.org/spreadsheetml/2006/main" count="362" uniqueCount="74">
  <si>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</si>
  <si>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</si>
  <si>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</si>
  <si>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</si>
  <si>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</si>
  <si>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</si>
  <si>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</si>
  <si>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</si>
  <si>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</si>
  <si>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</si>
  <si>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</si>
  <si>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</si>
  <si>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</si>
  <si>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</si>
  <si>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</si>
  <si>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</si>
  <si>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</si>
  <si>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</si>
  <si>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</si>
  <si>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</si>
  <si>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</si>
  <si>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</si>
  <si>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</si>
  <si>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</si>
  <si>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</si>
  <si>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</si>
  <si>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</si>
  <si>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 xml:space="preserve">Юрий Б. </t>
  </si>
  <si>
    <t>США</t>
  </si>
  <si>
    <t>Warrior</t>
  </si>
  <si>
    <t>Дмитрий Т.</t>
  </si>
  <si>
    <t>Швеция</t>
  </si>
  <si>
    <t>Lucky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</si>
  <si>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</si>
  <si>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</si>
  <si>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</si>
  <si>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</si>
  <si>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</si>
  <si>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</si>
  <si>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</si>
  <si>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</si>
  <si>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</si>
  <si>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</si>
  <si>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</si>
  <si>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</si>
  <si>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</si>
  <si>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</si>
  <si>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</si>
  <si>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</si>
  <si>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</si>
  <si>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</si>
  <si>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</si>
  <si>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Александр И. </t>
  </si>
  <si>
    <t>Швейцария</t>
  </si>
  <si>
    <t>⁠NightLovell</t>
  </si>
  <si>
    <t xml:space="preserve">Илья Я. </t>
  </si>
  <si>
    <t>Deqim</t>
  </si>
  <si>
    <t>Алексей К.</t>
  </si>
  <si>
    <t>Mutabor102</t>
  </si>
  <si>
    <t>ТУР4</t>
  </si>
  <si>
    <t>ТУР5</t>
  </si>
  <si>
    <t>ТУР6</t>
  </si>
  <si>
    <t>Евгений Б.</t>
  </si>
  <si>
    <t>Handzus</t>
  </si>
  <si>
    <t>Михаил Ж.</t>
  </si>
  <si>
    <t>YOSEN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</si>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</sst>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45695.0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11</v>
      </c>
      <c r="AI3" s="22">
        <f t="array" ref="AI3">SUM(('ТУР1'!home=AF3)*(homescore=visitorscore)*ISNUMBER(visitorscore),(visitor=AF3)*(visitorscore=homescore)*ISNUMBER(homescore))</f>
        <v>10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36</v>
      </c>
      <c r="AL3" s="27">
        <f t="array" ref="AL3">SUMIF('ТУР1'!home,AF3,visitorscore)+SUMIF(visitor,AF3,homescore)</f>
        <v>30</v>
      </c>
      <c r="AM3" s="27">
        <f t="shared" ref="AM3:AM5" si="2">AK3-AL3</f>
        <v>6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4300060036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36</v>
      </c>
      <c r="AA4" s="20">
        <f t="array" ref="AA4">VLOOKUP($U4,$AF$3:$AN$5,7,0)</f>
        <v>30</v>
      </c>
      <c r="AB4" s="20">
        <f t="array" ref="AB4">VLOOKUP($U4,$AF$3:$AN$5,8,0)</f>
        <v>6</v>
      </c>
      <c r="AC4" s="20">
        <f t="array" ref="AC4">VLOOKUP($U4,$AF$3:$AN$5,9,0)</f>
        <v>43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11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37</v>
      </c>
      <c r="AL4" s="27">
        <f t="array" ref="AL4">SUMIF('ТУР1'!home,AF4,visitorscore)+SUMIF(visitor,AF4,homescore)</f>
        <v>35</v>
      </c>
      <c r="AM4" s="27">
        <f t="shared" si="2"/>
        <v>2</v>
      </c>
      <c r="AN4" s="22">
        <f t="array" ref="AN4">AH4*Options!$B$2+AI4*Options!$B$3+AJ4*Options!$B$4+VLOOKUP(AF4,$E$4:$F$8,2,0)</f>
        <v>42</v>
      </c>
      <c r="AO4" s="28">
        <f t="shared" si="3"/>
        <v>4200020037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9</v>
      </c>
      <c r="Y5" s="20">
        <f t="array" ref="Y5">VLOOKUP($U5,$AF$3:$AN$5,5,0)</f>
        <v>8</v>
      </c>
      <c r="Z5" s="20">
        <f t="array" ref="Z5">VLOOKUP($U5,$AF$3:$AN$5,6,0)</f>
        <v>37</v>
      </c>
      <c r="AA5" s="20">
        <f t="array" ref="AA5">VLOOKUP($U5,$AF$3:$AN$5,7,0)</f>
        <v>35</v>
      </c>
      <c r="AB5" s="20">
        <f t="array" ref="AB5">VLOOKUP($U5,$AF$3:$AN$5,8,0)</f>
        <v>2</v>
      </c>
      <c r="AC5" s="20">
        <f t="array" ref="AC5">VLOOKUP($U5,$AF$3:$AN$5,9,0)</f>
        <v>42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14</v>
      </c>
      <c r="AK5" s="22">
        <f t="array" ref="AK5">SUMIF('ТУР1'!home,AF5,homescore)+SUMIF(visitor,AF5,visitorscore)</f>
        <v>26</v>
      </c>
      <c r="AL5" s="27">
        <f t="array" ref="AL5">SUMIF('ТУР1'!home,AF5,visitorscore)+SUMIF(visitor,AF5,homescore)</f>
        <v>34</v>
      </c>
      <c r="AM5" s="27">
        <f t="shared" si="2"/>
        <v>-8</v>
      </c>
      <c r="AN5" s="22">
        <f t="array" ref="AN5">AH5*Options!$B$2+AI5*Options!$B$3+AJ5*Options!$B$4+VLOOKUP(AF5,$E$4:$F$8,2,0)</f>
        <v>28</v>
      </c>
      <c r="AO5" s="28">
        <f t="shared" si="3"/>
        <v>2799920026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26</v>
      </c>
      <c r="AA6" s="20">
        <f t="array" ref="AA6">VLOOKUP($U6,$AF$3:$AN$5,7,0)</f>
        <v>34</v>
      </c>
      <c r="AB6" s="20">
        <f t="array" ref="AB6">VLOOKUP($U6,$AF$3:$AN$5,8,0)</f>
        <v>-8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Warrior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Warrior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Warrior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Lucky</v>
      </c>
      <c r="F15" s="47" t="str">
        <f t="shared" si="7"/>
        <v>Warrior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Lucky  - (США) Warrior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Lucky</v>
      </c>
      <c r="F16" s="47" t="str">
        <f t="shared" si="7"/>
        <v>Warrior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Lucky  - (США) Warrior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Lucky</v>
      </c>
      <c r="F17" s="47" t="str">
        <f t="shared" si="7"/>
        <v>Warrior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Lucky  - (США) Warrior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Lucky</v>
      </c>
      <c r="F18" s="47" t="str">
        <f t="shared" ref="F18:F23" si="15">$E$4</f>
        <v>rio2k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Lucky  - (Канада) rio2k</v>
      </c>
      <c r="V18" s="12" t="str">
        <f t="shared" si="11"/>
        <v>0:1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Lucky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Lucky  - (Канада) rio2k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Lucky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Lucky  - (Канада) rio2k</v>
      </c>
      <c r="V20" s="12" t="str">
        <f t="shared" si="11"/>
        <v>2:0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Warrior  - (Канада) rio2k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Warrior  - (Канада) rio2k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Warrior  - (Канада)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Warrior</v>
      </c>
      <c r="F24" s="51" t="str">
        <f t="shared" ref="F24:F29" si="20">$E$6</f>
        <v>Lucky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Warrior  - (Швеция) Lucky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Warrior</v>
      </c>
      <c r="F25" s="51" t="str">
        <f t="shared" si="20"/>
        <v>Lucky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Warrior  - (Швеция) Lucky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Warrior</v>
      </c>
      <c r="F26" s="51" t="str">
        <f t="shared" si="20"/>
        <v>Lucky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Warrior  - (Швеция) Lucky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Lucky</v>
      </c>
      <c r="G27" s="40">
        <f t="shared" si="8"/>
        <v>0</v>
      </c>
      <c r="H27" s="19"/>
      <c r="I27" s="40">
        <f t="shared" si="21"/>
        <v>0</v>
      </c>
      <c r="J27" s="19"/>
      <c r="K27" s="47">
        <v>0.0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Lucky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Lucky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Lucky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Lucky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Lucky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0</v>
      </c>
      <c r="H30" s="19"/>
      <c r="I30" s="40">
        <f t="shared" si="21"/>
        <v>0</v>
      </c>
      <c r="J30" s="19"/>
      <c r="K30" s="47">
        <v>0.0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Warrior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Warrior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Warrior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Lucky</v>
      </c>
      <c r="F33" s="47" t="str">
        <f t="shared" si="25"/>
        <v>Warrior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Lucky  - (США) Warrior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Lucky</v>
      </c>
      <c r="F34" s="47" t="str">
        <f t="shared" si="25"/>
        <v>Warrior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Lucky  - (США) Warrior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Lucky</v>
      </c>
      <c r="F35" s="47" t="str">
        <f t="shared" si="25"/>
        <v>Warrior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Lucky  - (США) Warrior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Lucky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Lucky  - (Канада)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Lucky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Lucky  - (Канада) rio2k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Lucky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Lucky  - (Канада) rio2k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Warrior  - (Канада) rio2k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Warrior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Warrior  - (Канада)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Warrior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Warrior  - (Канада) rio2k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Warrior</v>
      </c>
      <c r="F42" s="47" t="str">
        <f t="shared" ref="F42:F47" si="35">$E$6</f>
        <v>Lucky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Warrior  - (Швеция) Lucky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Warrior</v>
      </c>
      <c r="F43" s="47" t="str">
        <f t="shared" si="35"/>
        <v>Lucky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Warrior  - (Швеция) Lucky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Warrior</v>
      </c>
      <c r="F44" s="47" t="str">
        <f t="shared" si="35"/>
        <v>Lucky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Warrior  - (Швеция) Lucky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Lucky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Lucky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Lucky</v>
      </c>
      <c r="G46" s="40">
        <f t="shared" si="8"/>
        <v>0</v>
      </c>
      <c r="H46" s="19"/>
      <c r="I46" s="40">
        <f t="shared" si="36"/>
        <v>0</v>
      </c>
      <c r="J46" s="19"/>
      <c r="K46" s="47">
        <v>0.0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Lucky</v>
      </c>
      <c r="V46" s="12" t="str">
        <f t="shared" si="11"/>
        <v>0:0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Lucky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Lucky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Warrior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Warrior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Lucky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Lucky  - (США) Warrior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Lucky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Lucky  - (США) Warrior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Lucky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Lucky  - (Канада)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Lucky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Lucky  - (Канада) rio2k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40</v>
      </c>
      <c r="AL3" s="27">
        <f t="array" ref="AL3">SUMIF('ТУР1'!home,AF3,'ТУР2'!visitorscore)+SUMIF('ТУР2'!visitor,AF3,'ТУР2'!homescore)</f>
        <v>39</v>
      </c>
      <c r="AM3" s="27">
        <f t="shared" ref="AM3:AM5" si="2">AK3-AL3</f>
        <v>1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4200010040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39</v>
      </c>
      <c r="AB4" s="20">
        <f t="array" ref="AB4">VLOOKUP($U4,$AF$3:$AN$5,8,0)</f>
        <v>1</v>
      </c>
      <c r="AC4" s="20">
        <f t="array" ref="AC4">VLOOKUP($U4,$AF$3:$AN$5,9,0)</f>
        <v>42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9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36</v>
      </c>
      <c r="AM4" s="27">
        <f t="shared" si="2"/>
        <v>3</v>
      </c>
      <c r="AN4" s="22">
        <f t="array" ref="AN4">AH4*Options!$B$2+AI4*Options!$B$3+AJ4*Options!$B$4+VLOOKUP(AF4,$E$4:$F$8,2,0)</f>
        <v>38</v>
      </c>
      <c r="AO4" s="28">
        <f t="shared" si="3"/>
        <v>3800030039</v>
      </c>
    </row>
    <row r="5">
      <c r="A5" s="12"/>
      <c r="B5" s="12"/>
      <c r="C5" s="60" t="str">
        <f>'ТУР1'!$C$5</f>
        <v>Юрий Б. </v>
      </c>
      <c r="D5" s="61" t="s">
        <v>47</v>
      </c>
      <c r="E5" s="60" t="str">
        <f>'ТУР1'!$E$5</f>
        <v>Warrior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39</v>
      </c>
      <c r="AA5" s="20">
        <f t="array" ref="AA5">VLOOKUP($U5,$AF$3:$AN$5,7,0)</f>
        <v>36</v>
      </c>
      <c r="AB5" s="20">
        <f t="array" ref="AB5">VLOOKUP($U5,$AF$3:$AN$5,8,0)</f>
        <v>3</v>
      </c>
      <c r="AC5" s="20">
        <f t="array" ref="AC5">VLOOKUP($U5,$AF$3:$AN$5,9,0)</f>
        <v>38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9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6</v>
      </c>
      <c r="AJ5" s="27">
        <f t="array" ref="AJ5">SUM(('ТУР1'!home=AF5)*('ТУР2'!homescore&lt;'ТУР2'!visitorscore),('ТУР2'!visitor=AF5)*('ТУР2'!visitorscore&lt;'ТУР2'!homescore))</f>
        <v>13</v>
      </c>
      <c r="AK5" s="22">
        <f t="array" ref="AK5">SUMIF('ТУР1'!home,AF5,'ТУР2'!homescore)+SUMIF('ТУР2'!visitor,AF5,'ТУР2'!visitorscore)</f>
        <v>35</v>
      </c>
      <c r="AL5" s="27">
        <f t="array" ref="AL5">SUMIF('ТУР1'!home,AF5,'ТУР2'!visitorscore)+SUMIF('ТУР2'!visitor,AF5,'ТУР2'!homescore)</f>
        <v>39</v>
      </c>
      <c r="AM5" s="27">
        <f t="shared" si="2"/>
        <v>-4</v>
      </c>
      <c r="AN5" s="22">
        <f t="array" ref="AN5">AH5*Options!$B$2+AI5*Options!$B$3+AJ5*Options!$B$4+VLOOKUP(AF5,$E$4:$F$8,2,0)</f>
        <v>33</v>
      </c>
      <c r="AO5" s="28">
        <f t="shared" si="3"/>
        <v>3299960035</v>
      </c>
    </row>
    <row r="6">
      <c r="A6" s="12"/>
      <c r="B6" s="12"/>
      <c r="C6" s="60" t="str">
        <f>'ТУР1'!$C$6</f>
        <v>Дмитрий Т.</v>
      </c>
      <c r="D6" s="61" t="s">
        <v>48</v>
      </c>
      <c r="E6" s="60" t="str">
        <f>'ТУР1'!$E$6</f>
        <v>Lucky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35</v>
      </c>
      <c r="AA6" s="20">
        <f t="array" ref="AA6">VLOOKUP($U6,$AF$3:$AN$5,7,0)</f>
        <v>39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Warrior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Warrior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Warrior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Lucky</v>
      </c>
      <c r="F15" s="47" t="str">
        <f t="shared" si="7"/>
        <v>Warrior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Lucky  - (Чехия) Warrior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Lucky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Lucky  - (Чехия) Warrior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Lucky</v>
      </c>
      <c r="F17" s="47" t="str">
        <f t="shared" si="7"/>
        <v>Warrior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Lucky  - (Чехия) Warrior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Lucky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Lucky  - (Финляндия) rio2k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Lucky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Lucky  - (Финляндия) rio2k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Lucky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Lucky  - (Финляндия) rio2k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1</v>
      </c>
      <c r="J21" s="19" t="s">
        <v>0</v>
      </c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Warrior  - (Финляндия) rio2k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Warrior  - (Финляндия) rio2k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Warrior  - (Финляндия) rio2k</v>
      </c>
      <c r="V23" s="12" t="str">
        <f t="shared" si="11"/>
        <v>2:2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Warrior</v>
      </c>
      <c r="F24" s="65" t="str">
        <f t="shared" ref="F24:F29" si="20">$E$6</f>
        <v>Lucky</v>
      </c>
      <c r="G24" s="66">
        <f t="shared" si="8"/>
        <v>1</v>
      </c>
      <c r="H24" s="67"/>
      <c r="I24" s="66">
        <f t="shared" ref="I24:I30" si="21">SUM(L24)</f>
        <v>1</v>
      </c>
      <c r="J24" s="67"/>
      <c r="K24" s="47">
        <v>1.0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Warrior  - (Германия) Lucky</v>
      </c>
      <c r="V24" s="68" t="str">
        <f t="shared" si="11"/>
        <v>1:1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Lucky</v>
      </c>
      <c r="G25" s="40">
        <f t="shared" si="8"/>
        <v>1</v>
      </c>
      <c r="H25" s="19"/>
      <c r="I25" s="40">
        <f t="shared" si="21"/>
        <v>0</v>
      </c>
      <c r="J25" s="19"/>
      <c r="K25" s="47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Warrior  - (Германия) Lucky</v>
      </c>
      <c r="V25" s="12" t="str">
        <f t="shared" si="11"/>
        <v>1:0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Lucky</v>
      </c>
      <c r="G26" s="40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Warrior  - (Германия) Lucky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Lucky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Lucky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Lucky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Lucky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Lucky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Lucky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Warrior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Warrior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Warrior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Lucky</v>
      </c>
      <c r="F33" s="47" t="str">
        <f t="shared" si="25"/>
        <v>Warrior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Lucky  - (Чехия) Warrior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Lucky</v>
      </c>
      <c r="F34" s="47" t="str">
        <f t="shared" si="25"/>
        <v>Warrior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Lucky  - (Чехия) Warrior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Lucky</v>
      </c>
      <c r="F35" s="47" t="str">
        <f t="shared" si="25"/>
        <v>Warrior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Lucky  - (Чехия) Warrior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Lucky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Lucky  - (Финляндия) rio2k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Lucky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Lucky  - (Финляндия) rio2k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Lucky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Lucky  - (Финляндия) rio2k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Warrior  - (Финляндия)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Warrior  - (Финляндия) rio2k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Warrior  - (Финляндия)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Lucky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Warrior  - (Германия) Lucky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Lucky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Warrior  - (Германия) Lucky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Lucky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Warrior  - (Германия) Lucky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Lucky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Lucky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Lucky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Lucky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Lucky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Lucky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Warrior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Warrior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Lucky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Lucky  - (Чехия) Warrior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Lucky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Lucky  - (Чехия) Warrior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Lucky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Lucky  - (Финляндия) rio2k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Lucky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Lucky  - (Финляндия)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8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41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-3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3499970041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9</v>
      </c>
      <c r="Y4" s="20">
        <f t="array" ref="Y4">VLOOKUP($U4,$AF$3:$AN$5,5,0)</f>
        <v>9</v>
      </c>
      <c r="Z4" s="20">
        <f t="array" ref="Z4">VLOOKUP($U4,$AF$3:$AN$5,6,0)</f>
        <v>43</v>
      </c>
      <c r="AA4" s="20">
        <f t="array" ref="AA4">VLOOKUP($U4,$AF$3:$AN$5,7,0)</f>
        <v>42</v>
      </c>
      <c r="AB4" s="20">
        <f t="array" ref="AB4">VLOOKUP($U4,$AF$3:$AN$5,8,0)</f>
        <v>1</v>
      </c>
      <c r="AC4" s="20">
        <f t="array" ref="AC4">VLOOKUP($U4,$AF$3:$AN$5,9,0)</f>
        <v>39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43</v>
      </c>
      <c r="AL4" s="27">
        <f t="array" ref="AL4">SUMIF('ТУР3'!home,AF4,'ТУР3'!visitorscore)+SUMIF('ТУР3'!visitor,AF4,'ТУР3'!homescore)</f>
        <v>41</v>
      </c>
      <c r="AM4" s="27">
        <f t="shared" si="2"/>
        <v>2</v>
      </c>
      <c r="AN4" s="22">
        <f t="array" ref="AN4">AH4*Options!$B$2+AI4*Options!$B$3+AJ4*Options!$B$4+VLOOKUP(AF4,$E$4:$F$8,2,0)</f>
        <v>36</v>
      </c>
      <c r="AO4" s="28">
        <f t="shared" si="3"/>
        <v>3600020043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43</v>
      </c>
      <c r="AA5" s="20">
        <f t="array" ref="AA5">VLOOKUP($U5,$AF$3:$AN$5,7,0)</f>
        <v>41</v>
      </c>
      <c r="AB5" s="20">
        <f t="array" ref="AB5">VLOOKUP($U5,$AF$3:$AN$5,8,0)</f>
        <v>2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9</v>
      </c>
      <c r="AK5" s="22">
        <f t="array" ref="AK5">SUMIF('ТУР3'!home,AF5,'ТУР3'!homescore)+SUMIF('ТУР3'!visitor,AF5,'ТУР3'!visitorscore)</f>
        <v>43</v>
      </c>
      <c r="AL5" s="27">
        <f t="array" ref="AL5">SUMIF('ТУР3'!home,AF5,'ТУР3'!visitorscore)+SUMIF('ТУР3'!visitor,AF5,'ТУР3'!homescore)</f>
        <v>42</v>
      </c>
      <c r="AM5" s="27">
        <f t="shared" si="2"/>
        <v>1</v>
      </c>
      <c r="AN5" s="22">
        <f t="array" ref="AN5">AH5*Options!$B$2+AI5*Options!$B$3+AJ5*Options!$B$4+VLOOKUP(AF5,$E$4:$F$8,2,0)</f>
        <v>39</v>
      </c>
      <c r="AO5" s="28">
        <f t="shared" si="3"/>
        <v>3900010043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11</v>
      </c>
      <c r="Y6" s="20">
        <f t="array" ref="Y6">VLOOKUP($U6,$AF$3:$AN$5,5,0)</f>
        <v>9</v>
      </c>
      <c r="Z6" s="20">
        <f t="array" ref="Z6">VLOOKUP($U6,$AF$3:$AN$5,6,0)</f>
        <v>41</v>
      </c>
      <c r="AA6" s="20">
        <f t="array" ref="AA6">VLOOKUP($U6,$AF$3:$AN$5,7,0)</f>
        <v>44</v>
      </c>
      <c r="AB6" s="20">
        <f t="array" ref="AB6">VLOOKUP($U6,$AF$3:$AN$5,8,0)</f>
        <v>-3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⁠NightLovell  - (Канада) Deqim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⁠NightLovell  - (Канада) Deqim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Deqim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⁠NightLovell  - (Канада) Deqim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Deqim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Deqim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Deqim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⁠NightLovell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⁠NightLovell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⁠NightLovell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⁠NightLovell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Deqim  - (Швейцария) ⁠NightLovell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⁠NightLovell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Deqim  - (Швейцария) ⁠NightLovell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⁠NightLovell</v>
      </c>
      <c r="G23" s="40">
        <f t="shared" si="8"/>
        <v>0</v>
      </c>
      <c r="H23" s="19"/>
      <c r="I23" s="40">
        <f t="shared" si="16"/>
        <v>0</v>
      </c>
      <c r="J23" s="19"/>
      <c r="K23" s="47">
        <v>0.0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Deqim  - (Швейцария) ⁠NightLovell</v>
      </c>
      <c r="V23" s="12" t="str">
        <f t="shared" si="11"/>
        <v>0:0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Deqim  - (США) Mutabor102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Mutabor102</v>
      </c>
      <c r="G25" s="40">
        <f t="shared" si="8"/>
        <v>2</v>
      </c>
      <c r="H25" s="19"/>
      <c r="I25" s="40">
        <f t="shared" si="21"/>
        <v>3</v>
      </c>
      <c r="J25" s="19"/>
      <c r="K25" s="75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Deqim  - (США) Mutabor102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Mutabor102</v>
      </c>
      <c r="G26" s="76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Deqim  - (США) Mutabor102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⁠NightLovell  - (США) Mutabor102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⁠NightLovell  - (США) Mutabor102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Mutabor102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⁠NightLovell  - (США) Mutabor102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⁠NightLovell  - (Канада)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Deqim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⁠NightLovell  - (Канада) Deqim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Deqim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⁠NightLovell  - (Канада) Deqim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Deqim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Deqim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⁠NightLovell</v>
      </c>
      <c r="G36" s="40">
        <f t="shared" si="8"/>
        <v>3</v>
      </c>
      <c r="H36" s="19"/>
      <c r="I36" s="40">
        <f t="shared" ref="I36:I42" si="31">SUM(L36)</f>
        <v>3</v>
      </c>
      <c r="J36" s="19"/>
      <c r="K36" s="47">
        <v>3.0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⁠NightLovell</v>
      </c>
      <c r="V36" s="12" t="str">
        <f t="shared" si="11"/>
        <v>3:3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⁠NightLovell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⁠NightLovell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⁠NightLovell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⁠NightLovell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Deqim  - (Швейцария) ⁠NightLovell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⁠NightLovell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Deqim  - (Швейцария) ⁠NightLovell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⁠NightLovell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Deqim  - (Швейцария) ⁠NightLovell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Mutabor102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Deqim  - (США) Mutabor102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Deqim  - (США) Mutabor102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Mutabor102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Deqim  - (США) Mutabor102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Mutabor102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⁠NightLovell  - (США) Mutabor102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⁠NightLovell  - (США) Mutabor102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Mutabor102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⁠NightLovell  - (США) Mutabor102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⁠NightLovell  - (Канада) Deqim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⁠NightLovell  - (Канада) Deqim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Deqim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Deqim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Deqim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⁠NightLovell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⁠NightLovell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⁠NightLovell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⁠NightLovell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16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87">
        <f t="array" ref="AJ3">SUM(('ТУР4'!home=AF3)*('ТУР4'!homescore&lt;'ТУР4'!visitorscore),('ТУР4'!visitor=AF3)*('ТУР4'!visitorscore&lt;'ТУР4'!homescore))</f>
        <v>8</v>
      </c>
      <c r="AK3" s="108">
        <f t="array" ref="AK3">SUMIF('ТУР4'!home,AF3,'ТУР4'!homescore)+SUMIF('ТУР4'!visitor,AF3,'ТУР4'!visitorscore)</f>
        <v>45</v>
      </c>
      <c r="AL3" s="109">
        <f t="array" ref="AL3">SUMIF('ТУР4'!home,AF3,'ТУР4'!visitorscore)+SUMIF('ТУР4'!visitor,AF3,'ТУР4'!homescore)</f>
        <v>35</v>
      </c>
      <c r="AM3" s="87">
        <f t="shared" ref="AM3:AM5" si="2">AK3-AL3</f>
        <v>10</v>
      </c>
      <c r="AN3" s="108">
        <f t="array" ref="AN3">AH3*Options!$B$2+AI3*Options!$B$3+AJ3*Options!$B$4+VLOOKUP(AF3,$E$4:$F$8,2,0)</f>
        <v>54</v>
      </c>
      <c r="AO3" s="88">
        <f t="shared" ref="AO3:AO5" si="3">AK3+AM3*10000+AN3*100000000</f>
        <v>5400100045</v>
      </c>
    </row>
    <row r="4">
      <c r="A4" s="88"/>
      <c r="B4" s="91"/>
      <c r="C4" s="60" t="str">
        <f>'ТУР3'!$C$4</f>
        <v>Александр И. </v>
      </c>
      <c r="D4" s="110" t="s">
        <v>31</v>
      </c>
      <c r="E4" s="60" t="str">
        <f>'ТУР3'!$E$4</f>
        <v>⁠NightLovell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⁠NightLovell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6</v>
      </c>
      <c r="Y4" s="105">
        <f t="array" ref="Y4">VLOOKUP($U4,$AF$3:$AN$5,5,0)</f>
        <v>8</v>
      </c>
      <c r="Z4" s="105">
        <f t="array" ref="Z4">VLOOKUP($U4,$AF$3:$AN$5,6,0)</f>
        <v>45</v>
      </c>
      <c r="AA4" s="105">
        <f t="array" ref="AA4">VLOOKUP($U4,$AF$3:$AN$5,7,0)</f>
        <v>35</v>
      </c>
      <c r="AB4" s="105">
        <f t="array" ref="AB4">VLOOKUP($U4,$AF$3:$AN$5,8,0)</f>
        <v>10</v>
      </c>
      <c r="AC4" s="105">
        <f t="array" ref="AC4">VLOOKUP($U4,$AF$3:$AN$5,9,0)</f>
        <v>54</v>
      </c>
      <c r="AD4" s="28"/>
      <c r="AE4" s="88"/>
      <c r="AF4" s="112" t="str">
        <f t="shared" si="1"/>
        <v>Deqim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8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87">
        <f t="array" ref="AJ4">SUM(('ТУР4'!home=AF4)*('ТУР4'!homescore&lt;'ТУР4'!visitorscore),('ТУР4'!visitor=AF4)*('ТУР4'!visitorscore&lt;'ТУР4'!homescore))</f>
        <v>12</v>
      </c>
      <c r="AK4" s="108">
        <f t="array" ref="AK4">SUMIF('ТУР4'!home,AF4,'ТУР4'!homescore)+SUMIF('ТУР4'!visitor,AF4,'ТУР4'!visitorscore)</f>
        <v>43</v>
      </c>
      <c r="AL4" s="109">
        <f t="array" ref="AL4">SUMIF('ТУР4'!home,AF4,'ТУР4'!visitorscore)+SUMIF('ТУР4'!visitor,AF4,'ТУР4'!homescore)</f>
        <v>49</v>
      </c>
      <c r="AM4" s="87">
        <f t="shared" si="2"/>
        <v>-6</v>
      </c>
      <c r="AN4" s="108">
        <f t="array" ref="AN4">AH4*Options!$B$2+AI4*Options!$B$3+AJ4*Options!$B$4+VLOOKUP(AF4,$E$4:$F$8,2,0)</f>
        <v>34</v>
      </c>
      <c r="AO4" s="88">
        <f t="shared" si="3"/>
        <v>3399940043</v>
      </c>
    </row>
    <row r="5">
      <c r="A5" s="88"/>
      <c r="B5" s="91"/>
      <c r="C5" s="60" t="str">
        <f>'ТУР3'!$C$5</f>
        <v>Илья Я. </v>
      </c>
      <c r="D5" s="110" t="s">
        <v>46</v>
      </c>
      <c r="E5" s="60" t="str">
        <f>'ТУР3'!$E$5</f>
        <v>Deqim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Deqim</v>
      </c>
      <c r="V5" s="104">
        <f t="array" ref="V5">VLOOKUP($U5,$AF$3:$AN$5,2,0)</f>
        <v>30</v>
      </c>
      <c r="W5" s="105">
        <f t="array" ref="W5">VLOOKUP($U5,$AF$3:$AN$5,3,0)</f>
        <v>8</v>
      </c>
      <c r="X5" s="105">
        <f t="array" ref="X5">VLOOKUP($U5,$AF$3:$AN$5,4,0)</f>
        <v>10</v>
      </c>
      <c r="Y5" s="105">
        <f t="array" ref="Y5">VLOOKUP($U5,$AF$3:$AN$5,5,0)</f>
        <v>12</v>
      </c>
      <c r="Z5" s="105">
        <f t="array" ref="Z5">VLOOKUP($U5,$AF$3:$AN$5,6,0)</f>
        <v>43</v>
      </c>
      <c r="AA5" s="105">
        <f t="array" ref="AA5">VLOOKUP($U5,$AF$3:$AN$5,7,0)</f>
        <v>49</v>
      </c>
      <c r="AB5" s="105">
        <f t="array" ref="AB5">VLOOKUP($U5,$AF$3:$AN$5,8,0)</f>
        <v>-6</v>
      </c>
      <c r="AC5" s="105">
        <f t="array" ref="AC5">VLOOKUP($U5,$AF$3:$AN$5,9,0)</f>
        <v>34</v>
      </c>
      <c r="AD5" s="28"/>
      <c r="AE5" s="88"/>
      <c r="AF5" s="112" t="str">
        <f t="shared" si="1"/>
        <v>Mutabor102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7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41</v>
      </c>
      <c r="AL5" s="109">
        <f t="array" ref="AL5">SUMIF('ТУР4'!home,AF5,'ТУР4'!visitorscore)+SUMIF('ТУР4'!visitor,AF5,'ТУР4'!homescore)</f>
        <v>45</v>
      </c>
      <c r="AM5" s="87">
        <f t="shared" si="2"/>
        <v>-4</v>
      </c>
      <c r="AN5" s="108">
        <f t="array" ref="AN5">AH5*Options!$B$2+AI5*Options!$B$3+AJ5*Options!$B$4+VLOOKUP(AF5,$E$4:$F$8,2,0)</f>
        <v>33</v>
      </c>
      <c r="AO5" s="88">
        <f t="shared" si="3"/>
        <v>3299960041</v>
      </c>
    </row>
    <row r="6">
      <c r="A6" s="88"/>
      <c r="B6" s="91"/>
      <c r="C6" s="60" t="str">
        <f>'ТУР3'!$C$6</f>
        <v>Алексей К.</v>
      </c>
      <c r="D6" s="110" t="s">
        <v>47</v>
      </c>
      <c r="E6" s="60" t="str">
        <f>'ТУР3'!$E$6</f>
        <v>Mutabor102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12</v>
      </c>
      <c r="Y6" s="105">
        <f t="array" ref="Y6">VLOOKUP($U6,$AF$3:$AN$5,5,0)</f>
        <v>11</v>
      </c>
      <c r="Z6" s="105">
        <f t="array" ref="Z6">VLOOKUP($U6,$AF$3:$AN$5,6,0)</f>
        <v>41</v>
      </c>
      <c r="AA6" s="105">
        <f t="array" ref="AA6">VLOOKUP($U6,$AF$3:$AN$5,7,0)</f>
        <v>45</v>
      </c>
      <c r="AB6" s="105">
        <f t="array" ref="AB6">VLOOKUP($U6,$AF$3:$AN$5,8,0)</f>
        <v>-4</v>
      </c>
      <c r="AC6" s="105">
        <f t="array" ref="AC6">VLOOKUP($U6,$AF$3:$AN$5,9,0)</f>
        <v>33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⁠NightLovell</v>
      </c>
      <c r="F12" s="118" t="str">
        <f t="shared" ref="F12:F17" si="7">$E$5</f>
        <v>Deqim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⁠NightLovell  - (Финляндия) Deqim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⁠NightLovell</v>
      </c>
      <c r="F13" s="118" t="str">
        <f t="shared" si="7"/>
        <v>Deqim</v>
      </c>
      <c r="G13" s="116">
        <f t="shared" si="8"/>
        <v>2</v>
      </c>
      <c r="H13" s="118"/>
      <c r="I13" s="116">
        <f t="shared" si="9"/>
        <v>1</v>
      </c>
      <c r="J13" s="118"/>
      <c r="K13" s="122">
        <v>2.0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⁠NightLovell  - (Финляндия) Deqim</v>
      </c>
      <c r="V13" s="88" t="str">
        <f t="shared" si="11"/>
        <v>2:1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⁠NightLovell</v>
      </c>
      <c r="F14" s="118" t="str">
        <f t="shared" si="7"/>
        <v>Deqim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⁠NightLovell  - (Финляндия) Deqim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Mutabor102</v>
      </c>
      <c r="F15" s="118" t="str">
        <f t="shared" si="7"/>
        <v>Deqim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Mutabor102  - (Финляндия) Deqim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Mutabor102</v>
      </c>
      <c r="F16" s="118" t="str">
        <f t="shared" si="7"/>
        <v>Deqim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Mutabor102  - (Финляндия) Deqim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Mutabor102</v>
      </c>
      <c r="F17" s="118" t="str">
        <f t="shared" si="7"/>
        <v>Deqim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Mutabor102  - (Финляндия) Deqim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Mutabor102</v>
      </c>
      <c r="F18" s="118" t="str">
        <f t="shared" ref="F18:F23" si="15">$E$4</f>
        <v>⁠NightLovell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Mutabor102  - (Швеция) ⁠NightLovell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Mutabor102</v>
      </c>
      <c r="F19" s="118" t="str">
        <f t="shared" si="15"/>
        <v>⁠NightLovell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Mutabor102  - (Швеция) ⁠NightLovell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Mutabor102</v>
      </c>
      <c r="F20" s="118" t="str">
        <f t="shared" si="15"/>
        <v>⁠NightLovell</v>
      </c>
      <c r="G20" s="116">
        <f t="shared" si="8"/>
        <v>2</v>
      </c>
      <c r="H20" s="118"/>
      <c r="I20" s="116">
        <f t="shared" si="16"/>
        <v>0</v>
      </c>
      <c r="J20" s="118"/>
      <c r="K20" s="122">
        <v>2.0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Mutabor102  - (Швеция) ⁠NightLovell</v>
      </c>
      <c r="V20" s="88" t="str">
        <f t="shared" si="11"/>
        <v>2:0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Deqim</v>
      </c>
      <c r="F21" s="118" t="str">
        <f t="shared" si="15"/>
        <v>⁠NightLovell</v>
      </c>
      <c r="G21" s="116">
        <f t="shared" si="8"/>
        <v>3</v>
      </c>
      <c r="H21" s="118"/>
      <c r="I21" s="116">
        <f t="shared" si="16"/>
        <v>2</v>
      </c>
      <c r="J21" s="118"/>
      <c r="K21" s="122">
        <v>3.0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Deqim  - (Швеция) ⁠NightLovell</v>
      </c>
      <c r="V21" s="88" t="str">
        <f t="shared" si="11"/>
        <v>3:2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Deqim</v>
      </c>
      <c r="F22" s="118" t="str">
        <f t="shared" si="15"/>
        <v>⁠NightLovell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Deqim  - (Швеция) ⁠NightLovell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Deqim</v>
      </c>
      <c r="F23" s="118" t="str">
        <f t="shared" si="15"/>
        <v>⁠NightLovell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Deqim  - (Швеция) ⁠NightLovell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Deqim</v>
      </c>
      <c r="F24" s="127" t="str">
        <f t="shared" ref="F24:F29" si="20">$E$6</f>
        <v>Mutabor102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Deqim  - (Чехия) Mutabor102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Deqim</v>
      </c>
      <c r="F25" s="127" t="str">
        <f t="shared" si="20"/>
        <v>Mutabor102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Deqim  - (Чехия) Mutabor102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Deqim</v>
      </c>
      <c r="F26" s="127" t="str">
        <f t="shared" si="20"/>
        <v>Mutabor102</v>
      </c>
      <c r="G26" s="116">
        <f t="shared" si="8"/>
        <v>3</v>
      </c>
      <c r="H26" s="118"/>
      <c r="I26" s="116">
        <f t="shared" si="21"/>
        <v>1</v>
      </c>
      <c r="J26" s="118"/>
      <c r="K26" s="122">
        <v>3.0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Deqim  - (Чехия) Mutabor102</v>
      </c>
      <c r="V26" s="88" t="str">
        <f t="shared" si="11"/>
        <v>3:1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⁠NightLovell</v>
      </c>
      <c r="F27" s="127" t="str">
        <f t="shared" si="20"/>
        <v>Mutabor102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⁠NightLovell  - (Чехия) Mutabor102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⁠NightLovell</v>
      </c>
      <c r="F28" s="127" t="str">
        <f t="shared" si="20"/>
        <v>Mutabor102</v>
      </c>
      <c r="G28" s="116">
        <f t="shared" si="8"/>
        <v>1</v>
      </c>
      <c r="H28" s="118"/>
      <c r="I28" s="116">
        <f t="shared" si="21"/>
        <v>0</v>
      </c>
      <c r="J28" s="118"/>
      <c r="K28" s="122">
        <v>1.0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⁠NightLovell  - (Чехия) Mutabor102</v>
      </c>
      <c r="V28" s="88" t="str">
        <f t="shared" si="11"/>
        <v>1:0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⁠NightLovell</v>
      </c>
      <c r="F29" s="127" t="str">
        <f t="shared" si="20"/>
        <v>Mutabor102</v>
      </c>
      <c r="G29" s="116">
        <f t="shared" si="8"/>
        <v>0</v>
      </c>
      <c r="H29" s="118"/>
      <c r="I29" s="116">
        <f t="shared" si="21"/>
        <v>1</v>
      </c>
      <c r="J29" s="118"/>
      <c r="K29" s="118">
        <v>0.0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⁠NightLovell  - (Чехия) Mutabor102</v>
      </c>
      <c r="V29" s="88" t="str">
        <f t="shared" si="11"/>
        <v>0:1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⁠NightLovell</v>
      </c>
      <c r="F30" s="118" t="str">
        <f t="shared" ref="F30:F35" si="25">$E$5</f>
        <v>Deqim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⁠NightLovell  - (Финляндия) Deqim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⁠NightLovell</v>
      </c>
      <c r="F31" s="118" t="str">
        <f t="shared" si="25"/>
        <v>Deqim</v>
      </c>
      <c r="G31" s="116">
        <f t="shared" si="8"/>
        <v>2</v>
      </c>
      <c r="H31" s="118"/>
      <c r="I31" s="116">
        <f t="shared" ref="I31:I35" si="26">SUM(L31,O31)</f>
        <v>3</v>
      </c>
      <c r="J31" s="118"/>
      <c r="K31" s="122">
        <v>2.0</v>
      </c>
      <c r="L31" s="126">
        <v>3.0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⁠NightLovell  - (Финляндия) Deqim</v>
      </c>
      <c r="V31" s="88" t="str">
        <f t="shared" si="11"/>
        <v>2:3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⁠NightLovell</v>
      </c>
      <c r="F32" s="118" t="str">
        <f t="shared" si="25"/>
        <v>Deqim</v>
      </c>
      <c r="G32" s="116">
        <f t="shared" si="8"/>
        <v>0</v>
      </c>
      <c r="H32" s="118"/>
      <c r="I32" s="116">
        <f t="shared" si="26"/>
        <v>2</v>
      </c>
      <c r="J32" s="118"/>
      <c r="K32" s="122">
        <v>0.0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⁠NightLovell  - (Финляндия) Deqim</v>
      </c>
      <c r="V32" s="88" t="str">
        <f t="shared" si="11"/>
        <v>0:2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Mutabor102</v>
      </c>
      <c r="F33" s="118" t="str">
        <f t="shared" si="25"/>
        <v>Deqim</v>
      </c>
      <c r="G33" s="116">
        <f t="shared" si="8"/>
        <v>3</v>
      </c>
      <c r="H33" s="118"/>
      <c r="I33" s="116">
        <f t="shared" si="26"/>
        <v>1</v>
      </c>
      <c r="J33" s="118"/>
      <c r="K33" s="122">
        <v>3.0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Mutabor102  - (Финляндия) Deqim</v>
      </c>
      <c r="V33" s="88" t="str">
        <f t="shared" si="11"/>
        <v>3:1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Mutabor102</v>
      </c>
      <c r="F34" s="118" t="str">
        <f t="shared" si="25"/>
        <v>Deqim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Mutabor102  - (Финляндия) Deqim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Mutabor102</v>
      </c>
      <c r="F35" s="118" t="str">
        <f t="shared" si="25"/>
        <v>Deqim</v>
      </c>
      <c r="G35" s="116">
        <f t="shared" si="8"/>
        <v>2</v>
      </c>
      <c r="H35" s="118"/>
      <c r="I35" s="116">
        <f t="shared" si="26"/>
        <v>1</v>
      </c>
      <c r="J35" s="118"/>
      <c r="K35" s="118">
        <v>2.0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Mutabor102  - (Финляндия) Deqim</v>
      </c>
      <c r="V35" s="88" t="str">
        <f t="shared" si="11"/>
        <v>2:1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Mutabor102</v>
      </c>
      <c r="F36" s="118" t="str">
        <f t="shared" ref="F36:F41" si="30">$E$4</f>
        <v>⁠NightLovell</v>
      </c>
      <c r="G36" s="116">
        <f t="shared" si="8"/>
        <v>0</v>
      </c>
      <c r="H36" s="118"/>
      <c r="I36" s="116">
        <f t="shared" ref="I36:I42" si="31">SUM(L36)</f>
        <v>1</v>
      </c>
      <c r="J36" s="118"/>
      <c r="K36" s="121">
        <v>0.0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Mutabor102  - (Швеция) ⁠NightLovell</v>
      </c>
      <c r="V36" s="88" t="str">
        <f t="shared" si="11"/>
        <v>0:1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Mutabor102</v>
      </c>
      <c r="F37" s="118" t="str">
        <f t="shared" si="30"/>
        <v>⁠NightLovell</v>
      </c>
      <c r="G37" s="116">
        <f t="shared" si="8"/>
        <v>0</v>
      </c>
      <c r="H37" s="118"/>
      <c r="I37" s="116">
        <f t="shared" si="31"/>
        <v>1</v>
      </c>
      <c r="J37" s="118"/>
      <c r="K37" s="122">
        <v>0.0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Mutabor102  - (Швеция) ⁠NightLovell</v>
      </c>
      <c r="V37" s="88" t="str">
        <f t="shared" si="11"/>
        <v>0:1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Mutabor102</v>
      </c>
      <c r="F38" s="118" t="str">
        <f t="shared" si="30"/>
        <v>⁠NightLovell</v>
      </c>
      <c r="G38" s="116">
        <f t="shared" si="8"/>
        <v>0</v>
      </c>
      <c r="H38" s="118"/>
      <c r="I38" s="116">
        <f t="shared" si="31"/>
        <v>2</v>
      </c>
      <c r="J38" s="118"/>
      <c r="K38" s="122">
        <v>0.0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Mutabor102  - (Швеция) ⁠NightLovell</v>
      </c>
      <c r="V38" s="88" t="str">
        <f t="shared" si="11"/>
        <v>0:2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Deqim</v>
      </c>
      <c r="F39" s="118" t="str">
        <f t="shared" si="30"/>
        <v>⁠NightLovell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Deqim  - (Швеция) ⁠NightLovell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Deqim</v>
      </c>
      <c r="F40" s="118" t="str">
        <f t="shared" si="30"/>
        <v>⁠NightLovell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Deqim  - (Швеция) ⁠NightLovell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Deqim</v>
      </c>
      <c r="F41" s="118" t="str">
        <f t="shared" si="30"/>
        <v>⁠NightLovell</v>
      </c>
      <c r="G41" s="116">
        <f t="shared" si="8"/>
        <v>0</v>
      </c>
      <c r="H41" s="118"/>
      <c r="I41" s="116">
        <f t="shared" si="31"/>
        <v>2</v>
      </c>
      <c r="J41" s="118"/>
      <c r="K41" s="118">
        <v>0.0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Deqim  - (Швеция) ⁠NightLovell</v>
      </c>
      <c r="V41" s="88" t="str">
        <f t="shared" si="11"/>
        <v>0:2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Deqim</v>
      </c>
      <c r="F42" s="118" t="str">
        <f t="shared" ref="F42:F47" si="35">$E$6</f>
        <v>Mutabor102</v>
      </c>
      <c r="G42" s="116">
        <f t="shared" si="8"/>
        <v>3</v>
      </c>
      <c r="H42" s="118"/>
      <c r="I42" s="116">
        <f t="shared" si="31"/>
        <v>3</v>
      </c>
      <c r="J42" s="118"/>
      <c r="K42" s="121">
        <v>3.0</v>
      </c>
      <c r="L42" s="123">
        <v>3.0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Deqim  - (Чехия) Mutabor102</v>
      </c>
      <c r="V42" s="88" t="str">
        <f t="shared" si="11"/>
        <v>3:3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Deqim</v>
      </c>
      <c r="F43" s="118" t="str">
        <f t="shared" si="35"/>
        <v>Mutabor102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Deqim  - (Чехия) Mutabor102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Deqim</v>
      </c>
      <c r="F44" s="118" t="str">
        <f t="shared" si="35"/>
        <v>Mutabor102</v>
      </c>
      <c r="G44" s="116">
        <f t="shared" si="8"/>
        <v>1</v>
      </c>
      <c r="H44" s="118"/>
      <c r="I44" s="116">
        <f t="shared" si="36"/>
        <v>1</v>
      </c>
      <c r="J44" s="118"/>
      <c r="K44" s="122">
        <v>1.0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Deqim  - (Чехия) Mutabor102</v>
      </c>
      <c r="V44" s="88" t="str">
        <f t="shared" si="11"/>
        <v>1:1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⁠NightLovell</v>
      </c>
      <c r="F45" s="118" t="str">
        <f t="shared" si="35"/>
        <v>Mutabor102</v>
      </c>
      <c r="G45" s="116">
        <f t="shared" si="8"/>
        <v>2</v>
      </c>
      <c r="H45" s="118"/>
      <c r="I45" s="116">
        <f t="shared" si="36"/>
        <v>1</v>
      </c>
      <c r="J45" s="118"/>
      <c r="K45" s="122">
        <v>2.0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⁠NightLovell  - (Чехия) Mutabor102</v>
      </c>
      <c r="V45" s="88" t="str">
        <f t="shared" si="11"/>
        <v>2:1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⁠NightLovell</v>
      </c>
      <c r="F46" s="118" t="str">
        <f t="shared" si="35"/>
        <v>Mutabor102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⁠NightLovell  - (Чехия) Mutabor102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⁠NightLovell</v>
      </c>
      <c r="F47" s="118" t="str">
        <f t="shared" si="35"/>
        <v>Mutabor102</v>
      </c>
      <c r="G47" s="116">
        <f t="shared" si="8"/>
        <v>2</v>
      </c>
      <c r="H47" s="118"/>
      <c r="I47" s="116">
        <f t="shared" si="36"/>
        <v>3</v>
      </c>
      <c r="J47" s="118"/>
      <c r="K47" s="118">
        <v>2.0</v>
      </c>
      <c r="L47" s="118">
        <v>3.0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⁠NightLovell  - (Чехия) Mutabor102</v>
      </c>
      <c r="V47" s="88" t="str">
        <f t="shared" si="11"/>
        <v>2:3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⁠NightLovell</v>
      </c>
      <c r="F48" s="118" t="str">
        <f t="shared" ref="F48:F53" si="40">$E$5</f>
        <v>Deqim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⁠NightLovell  - (Финляндия) Deqim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⁠NightLovell</v>
      </c>
      <c r="F49" s="118" t="str">
        <f t="shared" si="40"/>
        <v>Deqim</v>
      </c>
      <c r="G49" s="116">
        <f t="shared" si="8"/>
        <v>0</v>
      </c>
      <c r="H49" s="118"/>
      <c r="I49" s="116">
        <f t="shared" ref="I49:I53" si="41">SUM(L49,O49)</f>
        <v>1</v>
      </c>
      <c r="J49" s="118"/>
      <c r="K49" s="122">
        <v>0.0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⁠NightLovell  - (Финляндия) Deqim</v>
      </c>
      <c r="V49" s="88" t="str">
        <f t="shared" si="11"/>
        <v>0:1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⁠NightLovell</v>
      </c>
      <c r="F50" s="118" t="str">
        <f t="shared" si="40"/>
        <v>Deqim</v>
      </c>
      <c r="G50" s="116">
        <f t="shared" si="8"/>
        <v>0</v>
      </c>
      <c r="H50" s="118"/>
      <c r="I50" s="116">
        <f t="shared" si="41"/>
        <v>1</v>
      </c>
      <c r="J50" s="118"/>
      <c r="K50" s="122">
        <v>0.0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⁠NightLovell  - (Финляндия) Deqim</v>
      </c>
      <c r="V50" s="88" t="str">
        <f t="shared" si="11"/>
        <v>0:1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Mutabor102</v>
      </c>
      <c r="F51" s="118" t="str">
        <f t="shared" si="40"/>
        <v>Deqim</v>
      </c>
      <c r="G51" s="116">
        <f t="shared" si="8"/>
        <v>3</v>
      </c>
      <c r="H51" s="118"/>
      <c r="I51" s="116">
        <f t="shared" si="41"/>
        <v>3</v>
      </c>
      <c r="J51" s="118"/>
      <c r="K51" s="122">
        <v>3.0</v>
      </c>
      <c r="L51" s="126">
        <v>3.0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Mutabor102  - (Финляндия) Deqim</v>
      </c>
      <c r="V51" s="88" t="str">
        <f t="shared" si="11"/>
        <v>3:3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Mutabor102</v>
      </c>
      <c r="F52" s="118" t="str">
        <f t="shared" si="40"/>
        <v>Deqim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Mutabor102  - (Финляндия) Deqim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Mutabor102</v>
      </c>
      <c r="F53" s="118" t="str">
        <f t="shared" si="40"/>
        <v>Deqim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Mutabor102  - (Финляндия) Deqim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Mutabor102</v>
      </c>
      <c r="F54" s="118" t="str">
        <f t="shared" ref="F54:F56" si="45">$E$4</f>
        <v>⁠NightLovell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Mutabor102  - (Швеция) ⁠NightLovell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Mutabor102</v>
      </c>
      <c r="F55" s="118" t="str">
        <f t="shared" si="45"/>
        <v>⁠NightLovell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Mutabor102  - (Швеция) ⁠NightLovell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Mutabor102</v>
      </c>
      <c r="F56" s="118" t="str">
        <f t="shared" si="45"/>
        <v>⁠NightLovell</v>
      </c>
      <c r="G56" s="116">
        <f t="shared" si="8"/>
        <v>0</v>
      </c>
      <c r="H56" s="118"/>
      <c r="I56" s="116">
        <f t="shared" si="46"/>
        <v>0</v>
      </c>
      <c r="J56" s="118"/>
      <c r="K56" s="122">
        <v>0.0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Mutabor102  - (Швеция) ⁠NightLovell</v>
      </c>
      <c r="V56" s="88" t="str">
        <f t="shared" si="11"/>
        <v>0:0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12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5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42</v>
      </c>
      <c r="AL3" s="27">
        <f t="array" ref="AL3">SUMIF('ТУР5'!home,AF3,'ТУР5'!visitorscore)+SUMIF('ТУР5'!visitor,AF3,'ТУР5'!homescore)</f>
        <v>39</v>
      </c>
      <c r="AM3" s="27">
        <f t="shared" ref="AM3:AM5" si="2">AK3-AL3</f>
        <v>3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4100030042</v>
      </c>
    </row>
    <row r="4">
      <c r="A4" s="12"/>
      <c r="B4" s="12"/>
      <c r="C4" s="60" t="str">
        <f>'ТУР3'!$C$4</f>
        <v>Александр И. </v>
      </c>
      <c r="D4" s="110" t="s">
        <v>25</v>
      </c>
      <c r="E4" s="60" t="str">
        <f>'ТУР3'!$E$4</f>
        <v>⁠NightLovell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3</v>
      </c>
      <c r="Y4" s="20">
        <f t="array" ref="Y4">VLOOKUP($U4,$AF$3:$AN$5,5,0)</f>
        <v>11</v>
      </c>
      <c r="Z4" s="20">
        <f t="array" ref="Z4">VLOOKUP($U4,$AF$3:$AN$5,6,0)</f>
        <v>38</v>
      </c>
      <c r="AA4" s="20">
        <f t="array" ref="AA4">VLOOKUP($U4,$AF$3:$AN$5,7,0)</f>
        <v>32</v>
      </c>
      <c r="AB4" s="20">
        <f t="array" ref="AB4">VLOOKUP($U4,$AF$3:$AN$5,8,0)</f>
        <v>6</v>
      </c>
      <c r="AC4" s="20">
        <f t="array" ref="AC4">VLOOKUP($U4,$AF$3:$AN$5,9,0)</f>
        <v>45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14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3</v>
      </c>
      <c r="AJ4" s="27">
        <f t="array" ref="AJ4">SUM(('ТУР5'!home=AF4)*('ТУР5'!homescore&lt;'ТУР5'!visitorscore),('ТУР5'!visitor=AF4)*('ТУР5'!visitorscore&lt;'ТУР5'!homescore))</f>
        <v>11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32</v>
      </c>
      <c r="AM4" s="27">
        <f t="shared" si="2"/>
        <v>6</v>
      </c>
      <c r="AN4" s="22">
        <f t="array" ref="AN4">AH4*Options!$B$2+AI4*Options!$B$3+AJ4*Options!$B$4+VLOOKUP(AF4,$E$4:$F$8,2,0)</f>
        <v>45</v>
      </c>
      <c r="AO4" s="28">
        <f t="shared" si="3"/>
        <v>4500060038</v>
      </c>
    </row>
    <row r="5">
      <c r="A5" s="12"/>
      <c r="B5" s="12"/>
      <c r="C5" s="60" t="str">
        <f>'ТУР3'!$C$5</f>
        <v>Илья Я. </v>
      </c>
      <c r="D5" s="110" t="s">
        <v>28</v>
      </c>
      <c r="E5" s="60" t="str">
        <f>'ТУР3'!$E$5</f>
        <v>Deqim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5</v>
      </c>
      <c r="Y5" s="20">
        <f t="array" ref="Y5">VLOOKUP($U5,$AF$3:$AN$5,5,0)</f>
        <v>11</v>
      </c>
      <c r="Z5" s="20">
        <f t="array" ref="Z5">VLOOKUP($U5,$AF$3:$AN$5,6,0)</f>
        <v>42</v>
      </c>
      <c r="AA5" s="20">
        <f t="array" ref="AA5">VLOOKUP($U5,$AF$3:$AN$5,7,0)</f>
        <v>39</v>
      </c>
      <c r="AB5" s="20">
        <f t="array" ref="AB5">VLOOKUP($U5,$AF$3:$AN$5,8,0)</f>
        <v>3</v>
      </c>
      <c r="AC5" s="20">
        <f t="array" ref="AC5">VLOOKUP($U5,$AF$3:$AN$5,9,0)</f>
        <v>41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10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4</v>
      </c>
      <c r="AJ5" s="27">
        <f t="array" ref="AJ5">SUM(('ТУР5'!home=AF5)*('ТУР5'!homescore&lt;'ТУР5'!visitorscore),('ТУР5'!visitor=AF5)*('ТУР5'!visitorscore&lt;'ТУР5'!homescore))</f>
        <v>14</v>
      </c>
      <c r="AK5" s="22">
        <f t="array" ref="AK5">SUMIF('ТУР5'!home,AF5,'ТУР5'!homescore)+SUMIF('ТУР5'!visitor,AF5,'ТУР5'!visitorscore)</f>
        <v>35</v>
      </c>
      <c r="AL5" s="27">
        <f t="array" ref="AL5">SUMIF('ТУР5'!home,AF5,'ТУР5'!visitorscore)+SUMIF('ТУР5'!visitor,AF5,'ТУР5'!homescore)</f>
        <v>44</v>
      </c>
      <c r="AM5" s="27">
        <f t="shared" si="2"/>
        <v>-9</v>
      </c>
      <c r="AN5" s="22">
        <f t="array" ref="AN5">AH5*Options!$B$2+AI5*Options!$B$3+AJ5*Options!$B$4+VLOOKUP(AF5,$E$4:$F$8,2,0)</f>
        <v>34</v>
      </c>
      <c r="AO5" s="28">
        <f t="shared" si="3"/>
        <v>3399910035</v>
      </c>
    </row>
    <row r="6">
      <c r="A6" s="12"/>
      <c r="B6" s="12"/>
      <c r="C6" s="60" t="str">
        <f>'ТУР3'!$C$6</f>
        <v>Алексей К.</v>
      </c>
      <c r="D6" s="110" t="s">
        <v>31</v>
      </c>
      <c r="E6" s="60" t="str">
        <f>'ТУР3'!$E$6</f>
        <v>Mutabor102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4</v>
      </c>
      <c r="Y6" s="20">
        <f t="array" ref="Y6">VLOOKUP($U6,$AF$3:$AN$5,5,0)</f>
        <v>14</v>
      </c>
      <c r="Z6" s="20">
        <f t="array" ref="Z6">VLOOKUP($U6,$AF$3:$AN$5,6,0)</f>
        <v>35</v>
      </c>
      <c r="AA6" s="20">
        <f t="array" ref="AA6">VLOOKUP($U6,$AF$3:$AN$5,7,0)</f>
        <v>44</v>
      </c>
      <c r="AB6" s="20">
        <f t="array" ref="AB6">VLOOKUP($U6,$AF$3:$AN$5,8,0)</f>
        <v>-9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Deqim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⁠NightLovell  - (США) Deqim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Deqim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⁠NightLovell  - (США) Deqim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⁠NightLovell  - (США) Deqim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Deqim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Deqim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Deqim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Deqim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⁠NightLovell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⁠NightLovell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⁠NightLovell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Deqim  - (Канада) ⁠NightLovell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⁠NightLovell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Deqim  - (Канада) ⁠NightLovell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⁠NightLovell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Deqim  - (Канада) ⁠NightLovell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Deqim  - (Швеция) Mutabor102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Mutabor102</v>
      </c>
      <c r="G25" s="40">
        <f t="shared" si="8"/>
        <v>2</v>
      </c>
      <c r="H25" s="19"/>
      <c r="I25" s="40">
        <f t="shared" si="21"/>
        <v>3</v>
      </c>
      <c r="J25" s="19"/>
      <c r="K25" s="75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Deqim  - (Швеция) Mutabor102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Mutabor102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Deqim  - (Швеция) Mutabor102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⁠NightLovell  - (Швеция)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Mutabor102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⁠NightLovell  - (Швеция) Mutabor102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Mutabor102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⁠NightLovell  - (Швеция) Mutabor102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⁠NightLovell  - (США) Deqim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⁠NightLovell  - (США) Deqim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Deqim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⁠NightLovell  - (США) Deqim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Deqim</v>
      </c>
      <c r="G33" s="40">
        <f t="shared" si="8"/>
        <v>3</v>
      </c>
      <c r="H33" s="19"/>
      <c r="I33" s="40">
        <f t="shared" si="26"/>
        <v>2</v>
      </c>
      <c r="J33" s="19"/>
      <c r="K33" s="47">
        <v>3.0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Deqim</v>
      </c>
      <c r="V33" s="12" t="str">
        <f t="shared" si="11"/>
        <v>3:2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Deqim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Deqim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Deqim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⁠NightLovell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⁠NightLovell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⁠NightLovell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⁠NightLovell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⁠NightLovell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⁠NightLovell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⁠NightLovell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Deqim  - (Канада) ⁠NightLovell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⁠NightLovell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Deqim  - (Канада) ⁠NightLovell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⁠NightLovell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Deqim  - (Канада) ⁠NightLovell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Mutabor102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Deqim  - (Швеция) Mutabor102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Deqim  - (Швеция) Mutabor102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Mutabor102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Deqim  - (Швеция) Mutabor102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Mutabor102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⁠NightLovell  - (Швеция) Mutabor102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⁠NightLovell  - (Швеция) Mutabor102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Mutabor102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⁠NightLovell  - (Швеция) Mutabor102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⁠NightLovell  - (США) Deqim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⁠NightLovell  - (США) Deqim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Deqim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Deqim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Deqim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⁠NightLovell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⁠NightLovell</v>
      </c>
      <c r="G53" s="40">
        <f t="shared" si="8"/>
        <v>3</v>
      </c>
      <c r="H53" s="19"/>
      <c r="I53" s="40">
        <f t="shared" si="41"/>
        <v>2</v>
      </c>
      <c r="J53" s="19"/>
      <c r="K53" s="47">
        <v>3.0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⁠NightLovell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4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16</v>
      </c>
      <c r="AK3" s="22">
        <f t="array" ref="AK3">SUMIF('ТУР6'!home,AF3,'ТУР6'!homescore)+SUMIF('ТУР6'!visitor,AF3,'ТУР6'!visitorscore)</f>
        <v>32</v>
      </c>
      <c r="AL3" s="27">
        <f t="array" ref="AL3">SUMIF('ТУР6'!home,AF3,'ТУР6'!visitorscore)+SUMIF('ТУР6'!visitor,AF3,'ТУР6'!homescore)</f>
        <v>46</v>
      </c>
      <c r="AM3" s="27">
        <f t="shared" ref="AM3:AM5" si="2">AK3-AL3</f>
        <v>-14</v>
      </c>
      <c r="AN3" s="22">
        <f t="array" ref="AN3">AH3*Options!$B$2+AI3*Options!$B$3+AJ3*Options!$B$4+VLOOKUP(AF3,$E$4:$F$8,2,0)</f>
        <v>20</v>
      </c>
      <c r="AO3" s="28">
        <f t="shared" ref="AO3:AO5" si="3">AK3+AM3*10000+AN3*100000000</f>
        <v>1999860032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46</v>
      </c>
      <c r="AA4" s="20">
        <f t="array" ref="AA4">VLOOKUP($U4,$AF$3:$AN$5,7,0)</f>
        <v>37</v>
      </c>
      <c r="AB4" s="20">
        <f t="array" ref="AB4">VLOOKUP($U4,$AF$3:$AN$5,8,0)</f>
        <v>9</v>
      </c>
      <c r="AC4" s="20">
        <f t="array" ref="AC4">VLOOKUP($U4,$AF$3:$AN$5,9,0)</f>
        <v>47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13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7</v>
      </c>
      <c r="AK4" s="22">
        <f t="array" ref="AK4">SUMIF('ТУР6'!home,AF4,'ТУР6'!homescore)+SUMIF('ТУР6'!visitor,AF4,'ТУР6'!visitorscore)</f>
        <v>47</v>
      </c>
      <c r="AL4" s="27">
        <f t="array" ref="AL4">SUMIF('ТУР6'!home,AF4,'ТУР6'!visitorscore)+SUMIF('ТУР6'!visitor,AF4,'ТУР6'!homescore)</f>
        <v>42</v>
      </c>
      <c r="AM4" s="27">
        <f t="shared" si="2"/>
        <v>5</v>
      </c>
      <c r="AN4" s="22">
        <f t="array" ref="AN4">AH4*Options!$B$2+AI4*Options!$B$3+AJ4*Options!$B$4+VLOOKUP(AF4,$E$4:$F$8,2,0)</f>
        <v>47</v>
      </c>
      <c r="AO4" s="28">
        <f t="shared" si="3"/>
        <v>4700050047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8</v>
      </c>
      <c r="Y5" s="20">
        <f t="array" ref="Y5">VLOOKUP($U5,$AF$3:$AN$5,5,0)</f>
        <v>7</v>
      </c>
      <c r="Z5" s="20">
        <f t="array" ref="Z5">VLOOKUP($U5,$AF$3:$AN$5,6,0)</f>
        <v>47</v>
      </c>
      <c r="AA5" s="20">
        <f t="array" ref="AA5">VLOOKUP($U5,$AF$3:$AN$5,7,0)</f>
        <v>42</v>
      </c>
      <c r="AB5" s="20">
        <f t="array" ref="AB5">VLOOKUP($U5,$AF$3:$AN$5,8,0)</f>
        <v>5</v>
      </c>
      <c r="AC5" s="20">
        <f t="array" ref="AC5">VLOOKUP($U5,$AF$3:$AN$5,9,0)</f>
        <v>47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13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7</v>
      </c>
      <c r="AK5" s="22">
        <f t="array" ref="AK5">SUMIF('ТУР6'!home,AF5,'ТУР6'!homescore)+SUMIF('ТУР6'!visitor,AF5,'ТУР6'!visitorscore)</f>
        <v>46</v>
      </c>
      <c r="AL5" s="27">
        <f t="array" ref="AL5">SUMIF('ТУР6'!home,AF5,'ТУР6'!visitorscore)+SUMIF('ТУР6'!visitor,AF5,'ТУР6'!homescore)</f>
        <v>37</v>
      </c>
      <c r="AM5" s="27">
        <f t="shared" si="2"/>
        <v>9</v>
      </c>
      <c r="AN5" s="22">
        <f t="array" ref="AN5">AH5*Options!$B$2+AI5*Options!$B$3+AJ5*Options!$B$4+VLOOKUP(AF5,$E$4:$F$8,2,0)</f>
        <v>47</v>
      </c>
      <c r="AO5" s="28">
        <f t="shared" si="3"/>
        <v>4700090046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8</v>
      </c>
      <c r="Y6" s="20">
        <f t="array" ref="Y6">VLOOKUP($U6,$AF$3:$AN$5,5,0)</f>
        <v>16</v>
      </c>
      <c r="Z6" s="20">
        <f t="array" ref="Z6">VLOOKUP($U6,$AF$3:$AN$5,6,0)</f>
        <v>32</v>
      </c>
      <c r="AA6" s="20">
        <f t="array" ref="AA6">VLOOKUP($U6,$AF$3:$AN$5,7,0)</f>
        <v>46</v>
      </c>
      <c r="AB6" s="20">
        <f t="array" ref="AB6">VLOOKUP($U6,$AF$3:$AN$5,8,0)</f>
        <v>-14</v>
      </c>
      <c r="AC6" s="20">
        <f t="array" ref="AC6">VLOOKUP($U6,$AF$3:$AN$5,9,0)</f>
        <v>20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Handzus  - (Чехия) YOSEN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Handzus  - (Чехия) YOSEN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YOSEN</v>
      </c>
      <c r="G14" s="40">
        <f t="shared" si="8"/>
        <v>3</v>
      </c>
      <c r="H14" s="19"/>
      <c r="I14" s="40">
        <f t="shared" si="9"/>
        <v>3</v>
      </c>
      <c r="J14" s="19"/>
      <c r="K14" s="47">
        <v>3.0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Handzus  - (Чехия) YOSEN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Pudge  - (Чехия)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Pudge  - (Чехия) YOSEN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Pudge  - (Чехия) YOSEN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Pudge  - (Финляндия) Handzus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Pudge  - (Финляндия) Handzus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Pudge  - (Финляндия) Handzus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YOSEN  - (Финляндия) Handzus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YOSEN  - (Финляндия) Handzus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YOSEN  - (Финляндия) Handzus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YOSEN  - (Германия) Pudge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3</v>
      </c>
      <c r="J25" s="19"/>
      <c r="K25" s="75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YOSEN  - (Германия) Pudge</v>
      </c>
      <c r="V25" s="12" t="str">
        <f t="shared" si="11"/>
        <v>2:3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Pudge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YOSEN  - (Германия) Pudge</v>
      </c>
      <c r="V26" s="12" t="str">
        <f t="shared" si="11"/>
        <v>3:1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Handzus  - (Германия) Pudge</v>
      </c>
      <c r="V27" s="12" t="str">
        <f t="shared" si="11"/>
        <v>3:1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Handzus  - (Германия) Pudge</v>
      </c>
      <c r="V28" s="12" t="str">
        <f t="shared" si="11"/>
        <v>1:2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Handzus  - (Германия) Pudge</v>
      </c>
      <c r="V29" s="12" t="str">
        <f t="shared" si="11"/>
        <v>2:2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Handzus  - (Чехия) YOSEN</v>
      </c>
      <c r="V30" s="12" t="str">
        <f t="shared" si="11"/>
        <v>2:2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Handzus  - (Чехия) YOSEN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Handzus  - (Чехия) YOSEN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Pudge  - (Чехия) YOSEN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Pudge  - (Чехия) YOSEN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YOSEN</v>
      </c>
      <c r="G35" s="40">
        <f t="shared" si="8"/>
        <v>3</v>
      </c>
      <c r="H35" s="19"/>
      <c r="I35" s="40">
        <f t="shared" si="26"/>
        <v>3</v>
      </c>
      <c r="J35" s="19"/>
      <c r="K35" s="47">
        <v>3.0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Pudge  - (Чехия) YOSEN</v>
      </c>
      <c r="V35" s="12" t="str">
        <f t="shared" si="11"/>
        <v>3:3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Pudge  - (Финляндия)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Pudge  - (Финляндия) Handzus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Pudge  - (Финляндия) Handzus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YOSEN  - (Финляндия) Handzus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YOSEN  - (Финляндия) Handzus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YOSEN  - (Финляндия) Handzus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3</v>
      </c>
      <c r="H42" s="19"/>
      <c r="I42" s="40">
        <f t="shared" si="31"/>
        <v>2</v>
      </c>
      <c r="J42" s="19"/>
      <c r="K42" s="47">
        <v>3.0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YOSEN  - (Германия) Pudge</v>
      </c>
      <c r="V42" s="12" t="str">
        <f t="shared" si="11"/>
        <v>3:2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YOSEN  - (Германия) Pudge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YOSEN  - (Германия) Pudge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Handzus  - (Германия) Pudge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Pudge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Handzus  - (Германия) Pudge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Pudge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Handzus  - (Германия) Pudge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Handzus  - (Чехия)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Handzus  - (Чехия)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Pudge  - (Чехия) YOSEN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YOSEN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Pudge  - (Чехия) YOSEN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Pudge  - (Финляндия) Handzus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Handzus</v>
      </c>
      <c r="G53" s="40">
        <f t="shared" si="8"/>
        <v>3</v>
      </c>
      <c r="H53" s="19"/>
      <c r="I53" s="40">
        <f t="shared" si="41"/>
        <v>2</v>
      </c>
      <c r="J53" s="19"/>
      <c r="K53" s="47">
        <v>3.0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Pudge  - (Финляндия) Handzus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3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16</v>
      </c>
      <c r="AK3" s="22">
        <f t="array" ref="AK3">SUMIF('ТУР7'!home,AF3,'ТУР7'!homescore)+SUMIF('ТУР7'!visitor,AF3,'ТУР7'!visitorscore)</f>
        <v>27</v>
      </c>
      <c r="AL3" s="27">
        <f t="array" ref="AL3">SUMIF('ТУР7'!home,AF3,'ТУР7'!visitorscore)+SUMIF('ТУР7'!visitor,AF3,'ТУР7'!homescore)</f>
        <v>44</v>
      </c>
      <c r="AM3" s="27">
        <f t="shared" ref="AM3:AM5" si="2">AK3-AL3</f>
        <v>-17</v>
      </c>
      <c r="AN3" s="22">
        <f t="array" ref="AN3">AH3*Options!$B$2+AI3*Options!$B$3+AJ3*Options!$B$4+VLOOKUP(AF3,$E$4:$F$8,2,0)</f>
        <v>18</v>
      </c>
      <c r="AO3" s="28">
        <f t="shared" ref="AO3:AO5" si="3">AK3+AM3*10000+AN3*100000000</f>
        <v>1799830027</v>
      </c>
    </row>
    <row r="4">
      <c r="A4" s="12"/>
      <c r="B4" s="12"/>
      <c r="C4" s="60" t="str">
        <f>'ТУР6'!$C$4</f>
        <v>Евгений Б.</v>
      </c>
      <c r="D4" s="110" t="s">
        <v>53</v>
      </c>
      <c r="E4" s="60" t="str">
        <f>'ТУР6'!$E$4</f>
        <v>Handzus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8</v>
      </c>
      <c r="Y4" s="20">
        <f t="array" ref="Y4">VLOOKUP($U4,$AF$3:$AN$5,5,0)</f>
        <v>4</v>
      </c>
      <c r="Z4" s="20">
        <f t="array" ref="Z4">VLOOKUP($U4,$AF$3:$AN$5,6,0)</f>
        <v>43</v>
      </c>
      <c r="AA4" s="20">
        <f t="array" ref="AA4">VLOOKUP($U4,$AF$3:$AN$5,7,0)</f>
        <v>27</v>
      </c>
      <c r="AB4" s="20">
        <f t="array" ref="AB4">VLOOKUP($U4,$AF$3:$AN$5,8,0)</f>
        <v>16</v>
      </c>
      <c r="AC4" s="20">
        <f t="array" ref="AC4">VLOOKUP($U4,$AF$3:$AN$5,9,0)</f>
        <v>56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9</v>
      </c>
      <c r="AK4" s="22">
        <f t="array" ref="AK4">SUMIF('ТУР7'!home,AF4,'ТУР7'!homescore)+SUMIF('ТУР7'!visitor,AF4,'ТУР7'!visitorscore)</f>
        <v>34</v>
      </c>
      <c r="AL4" s="27">
        <f t="array" ref="AL4">SUMIF('ТУР7'!home,AF4,'ТУР7'!visitorscore)+SUMIF('ТУР7'!visitor,AF4,'ТУР7'!homescore)</f>
        <v>33</v>
      </c>
      <c r="AM4" s="27">
        <f t="shared" si="2"/>
        <v>1</v>
      </c>
      <c r="AN4" s="22">
        <f t="array" ref="AN4">AH4*Options!$B$2+AI4*Options!$B$3+AJ4*Options!$B$4+VLOOKUP(AF4,$E$4:$F$8,2,0)</f>
        <v>39</v>
      </c>
      <c r="AO4" s="28">
        <f t="shared" si="3"/>
        <v>3900010034</v>
      </c>
    </row>
    <row r="5">
      <c r="A5" s="12"/>
      <c r="B5" s="12"/>
      <c r="C5" s="60" t="str">
        <f>'ТУР6'!$C$5</f>
        <v>Михаил Ж.</v>
      </c>
      <c r="D5" s="110" t="s">
        <v>25</v>
      </c>
      <c r="E5" s="60" t="str">
        <f>'ТУР6'!$E$5</f>
        <v>YOSEN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34</v>
      </c>
      <c r="AA5" s="20">
        <f t="array" ref="AA5">VLOOKUP($U5,$AF$3:$AN$5,7,0)</f>
        <v>33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16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4</v>
      </c>
      <c r="AK5" s="22">
        <f t="array" ref="AK5">SUMIF('ТУР7'!home,AF5,'ТУР7'!homescore)+SUMIF('ТУР7'!visitor,AF5,'ТУР7'!visitorscore)</f>
        <v>43</v>
      </c>
      <c r="AL5" s="27">
        <f t="array" ref="AL5">SUMIF('ТУР7'!home,AF5,'ТУР7'!visitorscore)+SUMIF('ТУР7'!visitor,AF5,'ТУР7'!homescore)</f>
        <v>27</v>
      </c>
      <c r="AM5" s="27">
        <f t="shared" si="2"/>
        <v>16</v>
      </c>
      <c r="AN5" s="22">
        <f t="array" ref="AN5">AH5*Options!$B$2+AI5*Options!$B$3+AJ5*Options!$B$4+VLOOKUP(AF5,$E$4:$F$8,2,0)</f>
        <v>56</v>
      </c>
      <c r="AO5" s="28">
        <f t="shared" si="3"/>
        <v>5600160043</v>
      </c>
    </row>
    <row r="6">
      <c r="A6" s="12"/>
      <c r="B6" s="12"/>
      <c r="C6" s="60" t="str">
        <f>'ТУР6'!$C$6</f>
        <v>Эмиль Д.</v>
      </c>
      <c r="D6" s="110" t="s">
        <v>28</v>
      </c>
      <c r="E6" s="60" t="str">
        <f>'ТУР6'!$E$6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9</v>
      </c>
      <c r="Y6" s="20">
        <f t="array" ref="Y6">VLOOKUP($U6,$AF$3:$AN$5,5,0)</f>
        <v>16</v>
      </c>
      <c r="Z6" s="20">
        <f t="array" ref="Z6">VLOOKUP($U6,$AF$3:$AN$5,6,0)</f>
        <v>27</v>
      </c>
      <c r="AA6" s="20">
        <f t="array" ref="AA6">VLOOKUP($U6,$AF$3:$AN$5,7,0)</f>
        <v>44</v>
      </c>
      <c r="AB6" s="20">
        <f t="array" ref="AB6">VLOOKUP($U6,$AF$3:$AN$5,8,0)</f>
        <v>-17</v>
      </c>
      <c r="AC6" s="20">
        <f t="array" ref="AC6">VLOOKUP($U6,$AF$3:$AN$5,9,0)</f>
        <v>18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Handzus  - (Канада) YOSEN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Handzus</v>
      </c>
      <c r="F13" s="47" t="str">
        <f t="shared" si="7"/>
        <v>YOSEN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Handzus  - (Канада) YOSEN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Handzus</v>
      </c>
      <c r="F14" s="47" t="str">
        <f t="shared" si="7"/>
        <v>YOSEN</v>
      </c>
      <c r="G14" s="40">
        <f t="shared" si="8"/>
        <v>0</v>
      </c>
      <c r="H14" s="19"/>
      <c r="I14" s="40">
        <f t="shared" si="9"/>
        <v>0</v>
      </c>
      <c r="J14" s="19"/>
      <c r="K14" s="47">
        <v>0.0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Handzus  - (Канада) YOSEN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Pudge  - (Канада) YOSEN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Pudge  - (Канада) YOSEN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Pudge  - (Канада) YOSEN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Pudge  - (Швейцария) Handzus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Pudge  - (Швейцария) Handzus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Pudge  - (Швейцария) Handzus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YOSEN  - (Швейцария) Handzus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YOSEN  - (Швейцария) Handzus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YOSEN  - (Швейцария) Handzus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YOSEN  - (США) Pudge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YOSEN  - (США) Pudge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YOSEN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YOSEN  - (США) Pudge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Handzus  - (США) Pudge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Handzus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Handzus  - (США) Pudge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Handzus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Handzus  - (США) Pudge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Handzus  - (Канада) YOSEN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Handzus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Handzus  - (Канада) YOSEN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Handzus</v>
      </c>
      <c r="F32" s="47" t="str">
        <f t="shared" si="25"/>
        <v>YOSEN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Handzus  - (Канада) YOSEN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Pudge  - (Канада) YOSEN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YOSEN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Pudge  - (Канада) YOSEN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Pudge  - (Канада) YOSEN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Pudge  - (Швейцария) Handzus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Pudge  - (Швейцария) Handzus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Pudge  - (Швейцария) Handzus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YOSEN  - (Швейцария) Handzus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YOSEN  - (Швейцария) Handzus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3</v>
      </c>
      <c r="H41" s="19"/>
      <c r="I41" s="40">
        <f t="shared" si="31"/>
        <v>2</v>
      </c>
      <c r="J41" s="19"/>
      <c r="K41" s="47">
        <v>3.0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YOSEN  - (Швейцария) Handzus</v>
      </c>
      <c r="V41" s="12" t="str">
        <f t="shared" si="11"/>
        <v>3:2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YOSEN  - (США) Pudge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YOSEN</v>
      </c>
      <c r="F43" s="47" t="str">
        <f t="shared" si="35"/>
        <v>Pudge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YOSEN  - (США) Pudge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YOSEN</v>
      </c>
      <c r="F44" s="47" t="str">
        <f t="shared" si="35"/>
        <v>Pudge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YOSEN  - (США) Pudge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Handzus  - (США) Pudge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Handzus</v>
      </c>
      <c r="F46" s="47" t="str">
        <f t="shared" si="35"/>
        <v>Pudge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Handzus  - (США) Pudge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Handzus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Handzus  - (США) Pudge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Handzus  - (Канада) YOSEN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Handzus</v>
      </c>
      <c r="F49" s="47" t="str">
        <f t="shared" si="40"/>
        <v>YOSEN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Handzus  - (Канада) YOSEN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Pudge  - (Канада) YOSEN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Pudge  - (Канада) YOSEN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Pudge  - (Швейцария) Handzus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Pudge  - (Швейцария) Handzus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Handzus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15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5</v>
      </c>
      <c r="AK3" s="108">
        <f t="array" ref="AK3">SUMIF('ТУР8'!home,AF3,'ТУР8'!homescore)+SUMIF('ТУР8'!visitor,AF3,'ТУР8'!visitorscore)</f>
        <v>47</v>
      </c>
      <c r="AL3" s="109">
        <f t="array" ref="AL3">SUMIF('ТУР8'!home,AF3,'ТУР8'!visitorscore)+SUMIF('ТУР8'!visitor,AF3,'ТУР8'!homescore)</f>
        <v>33</v>
      </c>
      <c r="AM3" s="87">
        <f t="shared" ref="AM3:AM5" si="2">AK3-AL3</f>
        <v>14</v>
      </c>
      <c r="AN3" s="108">
        <f t="array" ref="AN3">AH3*Options!$B$2+AI3*Options!$B$3+AJ3*Options!$B$4+VLOOKUP(AF3,$E$4:$F$8,2,0)</f>
        <v>55</v>
      </c>
      <c r="AO3" s="88">
        <f t="shared" ref="AO3:AO5" si="3">AK3+AM3*10000+AN3*100000000</f>
        <v>5500140047</v>
      </c>
    </row>
    <row r="4">
      <c r="A4" s="88"/>
      <c r="B4" s="91"/>
      <c r="C4" s="60" t="str">
        <f>'ТУР6'!$C$4</f>
        <v>Евгений Б.</v>
      </c>
      <c r="D4" s="110" t="s">
        <v>31</v>
      </c>
      <c r="E4" s="60" t="str">
        <f>'ТУР6'!$E$4</f>
        <v>Handzus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Handzus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10</v>
      </c>
      <c r="Y4" s="105">
        <f t="array" ref="Y4">VLOOKUP($U4,$AF$3:$AN$5,5,0)</f>
        <v>5</v>
      </c>
      <c r="Z4" s="105">
        <f t="array" ref="Z4">VLOOKUP($U4,$AF$3:$AN$5,6,0)</f>
        <v>47</v>
      </c>
      <c r="AA4" s="105">
        <f t="array" ref="AA4">VLOOKUP($U4,$AF$3:$AN$5,7,0)</f>
        <v>33</v>
      </c>
      <c r="AB4" s="105">
        <f t="array" ref="AB4">VLOOKUP($U4,$AF$3:$AN$5,8,0)</f>
        <v>14</v>
      </c>
      <c r="AC4" s="105">
        <f t="array" ref="AC4">VLOOKUP($U4,$AF$3:$AN$5,9,0)</f>
        <v>55</v>
      </c>
      <c r="AD4" s="28"/>
      <c r="AE4" s="88"/>
      <c r="AF4" s="112" t="str">
        <f t="shared" si="1"/>
        <v>YOSEN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10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12</v>
      </c>
      <c r="AK4" s="108">
        <f t="array" ref="AK4">SUMIF('ТУР8'!home,AF4,'ТУР8'!homescore)+SUMIF('ТУР8'!visitor,AF4,'ТУР8'!visitorscore)</f>
        <v>40</v>
      </c>
      <c r="AL4" s="109">
        <f t="array" ref="AL4">SUMIF('ТУР8'!home,AF4,'ТУР8'!visitorscore)+SUMIF('ТУР8'!visitor,AF4,'ТУР8'!homescore)</f>
        <v>43</v>
      </c>
      <c r="AM4" s="87">
        <f t="shared" si="2"/>
        <v>-3</v>
      </c>
      <c r="AN4" s="108">
        <f t="array" ref="AN4">AH4*Options!$B$2+AI4*Options!$B$3+AJ4*Options!$B$4+VLOOKUP(AF4,$E$4:$F$8,2,0)</f>
        <v>38</v>
      </c>
      <c r="AO4" s="88">
        <f t="shared" si="3"/>
        <v>3799970040</v>
      </c>
    </row>
    <row r="5">
      <c r="A5" s="88"/>
      <c r="B5" s="91"/>
      <c r="C5" s="60" t="str">
        <f>'ТУР6'!$C$5</f>
        <v>Михаил Ж.</v>
      </c>
      <c r="D5" s="110" t="s">
        <v>46</v>
      </c>
      <c r="E5" s="60" t="str">
        <f>'ТУР6'!$E$5</f>
        <v>YOSEN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YOSEN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8</v>
      </c>
      <c r="Y5" s="105">
        <f t="array" ref="Y5">VLOOKUP($U5,$AF$3:$AN$5,5,0)</f>
        <v>12</v>
      </c>
      <c r="Z5" s="105">
        <f t="array" ref="Z5">VLOOKUP($U5,$AF$3:$AN$5,6,0)</f>
        <v>40</v>
      </c>
      <c r="AA5" s="105">
        <f t="array" ref="AA5">VLOOKUP($U5,$AF$3:$AN$5,7,0)</f>
        <v>43</v>
      </c>
      <c r="AB5" s="105">
        <f t="array" ref="AB5">VLOOKUP($U5,$AF$3:$AN$5,8,0)</f>
        <v>-3</v>
      </c>
      <c r="AC5" s="105">
        <f t="array" ref="AC5">VLOOKUP($U5,$AF$3:$AN$5,9,0)</f>
        <v>38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5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7">
        <f t="array" ref="AJ5">SUM(('ТУР8'!home=AF5)*('ТУР8'!homescore&lt;'ТУР8'!visitorscore),('ТУР8'!visitor=AF5)*('ТУР8'!visitorscore&lt;'ТУР8'!homescore))</f>
        <v>13</v>
      </c>
      <c r="AK5" s="108">
        <f t="array" ref="AK5">SUMIF('ТУР8'!home,AF5,'ТУР8'!homescore)+SUMIF('ТУР8'!visitor,AF5,'ТУР8'!visitorscore)</f>
        <v>41</v>
      </c>
      <c r="AL5" s="109">
        <f t="array" ref="AL5">SUMIF('ТУР8'!home,AF5,'ТУР8'!visitorscore)+SUMIF('ТУР8'!visitor,AF5,'ТУР8'!homescore)</f>
        <v>52</v>
      </c>
      <c r="AM5" s="87">
        <f t="shared" si="2"/>
        <v>-11</v>
      </c>
      <c r="AN5" s="108">
        <f t="array" ref="AN5">AH5*Options!$B$2+AI5*Options!$B$3+AJ5*Options!$B$4+VLOOKUP(AF5,$E$4:$F$8,2,0)</f>
        <v>27</v>
      </c>
      <c r="AO5" s="88">
        <f t="shared" si="3"/>
        <v>2699890041</v>
      </c>
    </row>
    <row r="6">
      <c r="A6" s="88"/>
      <c r="B6" s="91"/>
      <c r="C6" s="60" t="str">
        <f>'ТУР6'!$C$6</f>
        <v>Эмиль Д.</v>
      </c>
      <c r="D6" s="110" t="s">
        <v>47</v>
      </c>
      <c r="E6" s="60" t="str">
        <f>'ТУР6'!$E$6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Pudge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12</v>
      </c>
      <c r="Y6" s="105">
        <f t="array" ref="Y6">VLOOKUP($U6,$AF$3:$AN$5,5,0)</f>
        <v>13</v>
      </c>
      <c r="Z6" s="105">
        <f t="array" ref="Z6">VLOOKUP($U6,$AF$3:$AN$5,6,0)</f>
        <v>41</v>
      </c>
      <c r="AA6" s="105">
        <f t="array" ref="AA6">VLOOKUP($U6,$AF$3:$AN$5,7,0)</f>
        <v>52</v>
      </c>
      <c r="AB6" s="105">
        <f t="array" ref="AB6">VLOOKUP($U6,$AF$3:$AN$5,8,0)</f>
        <v>-11</v>
      </c>
      <c r="AC6" s="105">
        <f t="array" ref="AC6">VLOOKUP($U6,$AF$3:$AN$5,9,0)</f>
        <v>27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Handzus</v>
      </c>
      <c r="F12" s="118" t="str">
        <f t="shared" ref="F12:F17" si="7">$E$5</f>
        <v>YOSEN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Handzus  - (Финляндия) YOSEN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Handzus</v>
      </c>
      <c r="F13" s="118" t="str">
        <f t="shared" si="7"/>
        <v>YOSEN</v>
      </c>
      <c r="G13" s="116">
        <f t="shared" si="8"/>
        <v>2</v>
      </c>
      <c r="H13" s="118"/>
      <c r="I13" s="116">
        <f t="shared" si="9"/>
        <v>2</v>
      </c>
      <c r="J13" s="118"/>
      <c r="K13" s="122">
        <v>2.0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Handzus  - (Финляндия) YOSEN</v>
      </c>
      <c r="V13" s="88" t="str">
        <f t="shared" si="11"/>
        <v>2:2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Handzus</v>
      </c>
      <c r="F14" s="118" t="str">
        <f t="shared" si="7"/>
        <v>YOSEN</v>
      </c>
      <c r="G14" s="116">
        <f t="shared" si="8"/>
        <v>2</v>
      </c>
      <c r="H14" s="118"/>
      <c r="I14" s="116">
        <f t="shared" si="9"/>
        <v>1</v>
      </c>
      <c r="J14" s="118"/>
      <c r="K14" s="122">
        <v>2.0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Handzus  - (Финляндия) YOSEN</v>
      </c>
      <c r="V14" s="88" t="str">
        <f t="shared" si="11"/>
        <v>2:1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YOSEN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Pudge  - (Финляндия) YOSEN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YOSEN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Pudge  - (Финляндия) YOSEN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YOSEN</v>
      </c>
      <c r="G17" s="116">
        <f t="shared" si="8"/>
        <v>2</v>
      </c>
      <c r="H17" s="118"/>
      <c r="I17" s="116">
        <f t="shared" si="9"/>
        <v>2</v>
      </c>
      <c r="J17" s="118"/>
      <c r="K17" s="118">
        <v>2.0</v>
      </c>
      <c r="L17" s="118">
        <v>2.0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Pudge  - (Финляндия) YOSEN</v>
      </c>
      <c r="V17" s="88" t="str">
        <f t="shared" si="11"/>
        <v>2:2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Handzus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Pudge  - (Швеция) Handzus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Handzus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Pudge  - (Швеция) Handzus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Handzus</v>
      </c>
      <c r="G20" s="116">
        <f t="shared" si="8"/>
        <v>1</v>
      </c>
      <c r="H20" s="118"/>
      <c r="I20" s="116">
        <f t="shared" si="16"/>
        <v>1</v>
      </c>
      <c r="J20" s="118"/>
      <c r="K20" s="122">
        <v>1.0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Pudge  - (Швеция) Handzus</v>
      </c>
      <c r="V20" s="88" t="str">
        <f t="shared" si="11"/>
        <v>1:1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YOSEN</v>
      </c>
      <c r="F21" s="118" t="str">
        <f t="shared" si="15"/>
        <v>Handzus</v>
      </c>
      <c r="G21" s="116">
        <f t="shared" si="8"/>
        <v>1</v>
      </c>
      <c r="H21" s="118"/>
      <c r="I21" s="116">
        <f t="shared" si="16"/>
        <v>0</v>
      </c>
      <c r="J21" s="118"/>
      <c r="K21" s="122">
        <v>1.0</v>
      </c>
      <c r="L21" s="126">
        <v>0.0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YOSEN  - (Швеция) Handzus</v>
      </c>
      <c r="V21" s="88" t="str">
        <f t="shared" si="11"/>
        <v>1:0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YOSEN</v>
      </c>
      <c r="F22" s="118" t="str">
        <f t="shared" si="15"/>
        <v>Handzus</v>
      </c>
      <c r="G22" s="116">
        <f t="shared" si="8"/>
        <v>0</v>
      </c>
      <c r="H22" s="118"/>
      <c r="I22" s="116">
        <f t="shared" si="16"/>
        <v>1</v>
      </c>
      <c r="J22" s="118"/>
      <c r="K22" s="122">
        <v>0.0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YOSEN  - (Швеция) Handzus</v>
      </c>
      <c r="V22" s="88" t="str">
        <f t="shared" si="11"/>
        <v>0:1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YOSEN</v>
      </c>
      <c r="F23" s="118" t="str">
        <f t="shared" si="15"/>
        <v>Handzus</v>
      </c>
      <c r="G23" s="116">
        <f t="shared" si="8"/>
        <v>2</v>
      </c>
      <c r="H23" s="118"/>
      <c r="I23" s="116">
        <f t="shared" si="16"/>
        <v>0</v>
      </c>
      <c r="J23" s="118"/>
      <c r="K23" s="118">
        <v>2.0</v>
      </c>
      <c r="L23" s="118">
        <v>0.0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YOSEN  - (Швеция) Handzus</v>
      </c>
      <c r="V23" s="88" t="str">
        <f t="shared" si="11"/>
        <v>2:0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YOSEN</v>
      </c>
      <c r="F24" s="127" t="str">
        <f t="shared" ref="F24:F29" si="20">$E$6</f>
        <v>Pudge</v>
      </c>
      <c r="G24" s="116">
        <f t="shared" si="8"/>
        <v>0</v>
      </c>
      <c r="H24" s="118"/>
      <c r="I24" s="116">
        <f t="shared" ref="I24:I30" si="21">SUM(L24)</f>
        <v>2</v>
      </c>
      <c r="J24" s="118"/>
      <c r="K24" s="121">
        <v>0.0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YOSEN  - (Чехия) Pudge</v>
      </c>
      <c r="V24" s="88" t="str">
        <f t="shared" si="11"/>
        <v>0:2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YOSEN</v>
      </c>
      <c r="F25" s="127" t="str">
        <f t="shared" si="20"/>
        <v>Pudge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YOSEN  - (Чехия) Pudge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YOSEN</v>
      </c>
      <c r="F26" s="127" t="str">
        <f t="shared" si="20"/>
        <v>Pudge</v>
      </c>
      <c r="G26" s="116">
        <f t="shared" si="8"/>
        <v>2</v>
      </c>
      <c r="H26" s="118"/>
      <c r="I26" s="116">
        <f t="shared" si="21"/>
        <v>3</v>
      </c>
      <c r="J26" s="118"/>
      <c r="K26" s="122">
        <v>2.0</v>
      </c>
      <c r="L26" s="126">
        <v>3.0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YOSEN  - (Чехия) Pudge</v>
      </c>
      <c r="V26" s="88" t="str">
        <f t="shared" si="11"/>
        <v>2:3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Handzus</v>
      </c>
      <c r="F27" s="127" t="str">
        <f t="shared" si="20"/>
        <v>Pudge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Handzus  - (Чехия) Pudge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Handzus</v>
      </c>
      <c r="F28" s="127" t="str">
        <f t="shared" si="20"/>
        <v>Pudge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Handzus  - (Чехия) Pudge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Handzus</v>
      </c>
      <c r="F29" s="127" t="str">
        <f t="shared" si="20"/>
        <v>Pudge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Handzus  - (Чехия) Pudge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Handzus</v>
      </c>
      <c r="F30" s="118" t="str">
        <f t="shared" ref="F30:F35" si="25">$E$5</f>
        <v>YOSEN</v>
      </c>
      <c r="G30" s="116">
        <f t="shared" si="8"/>
        <v>3</v>
      </c>
      <c r="H30" s="118"/>
      <c r="I30" s="116">
        <f t="shared" si="21"/>
        <v>2</v>
      </c>
      <c r="J30" s="118"/>
      <c r="K30" s="121">
        <v>3.0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Handzus  - (Финляндия) YOSEN</v>
      </c>
      <c r="V30" s="88" t="str">
        <f t="shared" si="11"/>
        <v>3:2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Handzus</v>
      </c>
      <c r="F31" s="118" t="str">
        <f t="shared" si="25"/>
        <v>YOSEN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Handzus  - (Финляндия) YOSEN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Handzus</v>
      </c>
      <c r="F32" s="118" t="str">
        <f t="shared" si="25"/>
        <v>YOSEN</v>
      </c>
      <c r="G32" s="116">
        <f t="shared" si="8"/>
        <v>1</v>
      </c>
      <c r="H32" s="118"/>
      <c r="I32" s="116">
        <f t="shared" si="26"/>
        <v>1</v>
      </c>
      <c r="J32" s="118"/>
      <c r="K32" s="122">
        <v>1.0</v>
      </c>
      <c r="L32" s="126">
        <v>1.0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Handzus  - (Финляндия) YOSEN</v>
      </c>
      <c r="V32" s="88" t="str">
        <f t="shared" si="11"/>
        <v>1:1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YOSEN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Pudge  - (Финляндия) YOSEN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YOSEN</v>
      </c>
      <c r="G34" s="116">
        <f t="shared" si="8"/>
        <v>0</v>
      </c>
      <c r="H34" s="118"/>
      <c r="I34" s="116">
        <f t="shared" si="26"/>
        <v>2</v>
      </c>
      <c r="J34" s="118"/>
      <c r="K34" s="122">
        <v>0.0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Pudge  - (Финляндия) YOSEN</v>
      </c>
      <c r="V34" s="88" t="str">
        <f t="shared" si="11"/>
        <v>0:2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YOSEN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Pudge  - (Финляндия) YOSEN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Handzus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Pudge  - (Швеция) Handzus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Handzus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Pudge  - (Швеция) Handzus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Handzus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Pudge  - (Швеция) Handzus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YOSEN</v>
      </c>
      <c r="F39" s="118" t="str">
        <f t="shared" si="30"/>
        <v>Handzus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YOSEN  - (Швеция) Handzus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YOSEN</v>
      </c>
      <c r="F40" s="118" t="str">
        <f t="shared" si="30"/>
        <v>Handzus</v>
      </c>
      <c r="G40" s="116">
        <f t="shared" si="8"/>
        <v>0</v>
      </c>
      <c r="H40" s="118"/>
      <c r="I40" s="116">
        <f t="shared" si="31"/>
        <v>1</v>
      </c>
      <c r="J40" s="118"/>
      <c r="K40" s="122">
        <v>0.0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YOSEN  - (Швеция) Handzus</v>
      </c>
      <c r="V40" s="88" t="str">
        <f t="shared" si="11"/>
        <v>0:1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YOSEN</v>
      </c>
      <c r="F41" s="118" t="str">
        <f t="shared" si="30"/>
        <v>Handzus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YOSEN  - (Швеция) Handzus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YOSEN</v>
      </c>
      <c r="F42" s="118" t="str">
        <f t="shared" ref="F42:F47" si="35">$E$6</f>
        <v>Pudge</v>
      </c>
      <c r="G42" s="116">
        <f t="shared" si="8"/>
        <v>3</v>
      </c>
      <c r="H42" s="118"/>
      <c r="I42" s="116">
        <f t="shared" si="31"/>
        <v>1</v>
      </c>
      <c r="J42" s="118"/>
      <c r="K42" s="121">
        <v>3.0</v>
      </c>
      <c r="L42" s="123">
        <v>1.0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YOSEN  - (Чехия) Pudge</v>
      </c>
      <c r="V42" s="88" t="str">
        <f t="shared" si="11"/>
        <v>3:1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YOSEN</v>
      </c>
      <c r="F43" s="118" t="str">
        <f t="shared" si="35"/>
        <v>Pudge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YOSEN  - (Чехия) Pudge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YOSEN</v>
      </c>
      <c r="F44" s="118" t="str">
        <f t="shared" si="35"/>
        <v>Pudge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YOSEN  - (Чехия) Pudge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Handzus</v>
      </c>
      <c r="F45" s="118" t="str">
        <f t="shared" si="35"/>
        <v>Pudge</v>
      </c>
      <c r="G45" s="116">
        <f t="shared" si="8"/>
        <v>1</v>
      </c>
      <c r="H45" s="118"/>
      <c r="I45" s="116">
        <f t="shared" si="36"/>
        <v>1</v>
      </c>
      <c r="J45" s="118"/>
      <c r="K45" s="122">
        <v>1.0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Handzus  - (Чехия) Pudge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Handzus</v>
      </c>
      <c r="F46" s="118" t="str">
        <f t="shared" si="35"/>
        <v>Pudge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Handzus  - (Чехия) Pudge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Handzus</v>
      </c>
      <c r="F47" s="118" t="str">
        <f t="shared" si="35"/>
        <v>Pudge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Handzus  - (Чехия) Pudge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Handzus</v>
      </c>
      <c r="F48" s="118" t="str">
        <f t="shared" ref="F48:F53" si="40">$E$5</f>
        <v>YOSEN</v>
      </c>
      <c r="G48" s="116">
        <f t="shared" si="8"/>
        <v>0</v>
      </c>
      <c r="H48" s="118"/>
      <c r="I48" s="116">
        <f>SUM(L48)</f>
        <v>1</v>
      </c>
      <c r="J48" s="118"/>
      <c r="K48" s="121">
        <v>0.0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Handzus  - (Финляндия) YOSEN</v>
      </c>
      <c r="V48" s="88" t="str">
        <f t="shared" si="11"/>
        <v>0:1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Handzus</v>
      </c>
      <c r="F49" s="118" t="str">
        <f t="shared" si="40"/>
        <v>YOSEN</v>
      </c>
      <c r="G49" s="116">
        <f t="shared" si="8"/>
        <v>0</v>
      </c>
      <c r="H49" s="118"/>
      <c r="I49" s="116">
        <f t="shared" ref="I49:I53" si="41">SUM(L49,O49)</f>
        <v>2</v>
      </c>
      <c r="J49" s="118"/>
      <c r="K49" s="122">
        <v>0.0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Handzus  - (Финляндия) YOSEN</v>
      </c>
      <c r="V49" s="88" t="str">
        <f t="shared" si="11"/>
        <v>0:2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Handzus</v>
      </c>
      <c r="F50" s="118" t="str">
        <f t="shared" si="40"/>
        <v>YOSEN</v>
      </c>
      <c r="G50" s="116">
        <f t="shared" si="8"/>
        <v>3</v>
      </c>
      <c r="H50" s="118"/>
      <c r="I50" s="116">
        <f t="shared" si="41"/>
        <v>1</v>
      </c>
      <c r="J50" s="118"/>
      <c r="K50" s="122">
        <v>3.0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Handzus  - (Финляндия) YOSEN</v>
      </c>
      <c r="V50" s="88" t="str">
        <f t="shared" si="11"/>
        <v>3:1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YOSEN</v>
      </c>
      <c r="G51" s="116">
        <f t="shared" si="8"/>
        <v>3</v>
      </c>
      <c r="H51" s="118"/>
      <c r="I51" s="116">
        <f t="shared" si="41"/>
        <v>1</v>
      </c>
      <c r="J51" s="118"/>
      <c r="K51" s="122">
        <v>3.0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Pudge  - (Финляндия) YOSEN</v>
      </c>
      <c r="V51" s="88" t="str">
        <f t="shared" si="11"/>
        <v>3:1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YOSEN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Pudge  - (Финляндия) YOSEN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YOSEN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Pudge  - (Финляндия) YOSEN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Handzus</v>
      </c>
      <c r="G54" s="116">
        <f t="shared" si="8"/>
        <v>2</v>
      </c>
      <c r="H54" s="118"/>
      <c r="I54" s="116">
        <f t="shared" ref="I54:I56" si="46">SUM(L54)</f>
        <v>1</v>
      </c>
      <c r="J54" s="118"/>
      <c r="K54" s="121">
        <v>2.0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Pudge  - (Швеция) Handzus</v>
      </c>
      <c r="V54" s="88" t="str">
        <f t="shared" si="11"/>
        <v>2:1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Handzus</v>
      </c>
      <c r="G55" s="116">
        <f t="shared" si="8"/>
        <v>0</v>
      </c>
      <c r="H55" s="118"/>
      <c r="I55" s="116">
        <f t="shared" si="46"/>
        <v>2</v>
      </c>
      <c r="J55" s="118"/>
      <c r="K55" s="122">
        <v>0.0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Pudge  - (Швеция) Handzus</v>
      </c>
      <c r="V55" s="88" t="str">
        <f t="shared" si="11"/>
        <v>0:2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Handzus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Pudge  - (Швеция) Handzus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